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ortekst.sharepoint.com/sites/DOK-Dokumentsenter/Delte dokumenter/General/14_Veiledninger og Teknsik dok/"/>
    </mc:Choice>
  </mc:AlternateContent>
  <xr:revisionPtr revIDLastSave="0" documentId="8_{A322836A-EABE-409E-B647-404D45E56641}" xr6:coauthVersionLast="47" xr6:coauthVersionMax="47" xr10:uidLastSave="{00000000-0000-0000-0000-000000000000}"/>
  <workbookProtection workbookAlgorithmName="SHA-512" workbookHashValue="MYTe59XWfB1lLjXJw8v3XaYQiXhYVxxt4RVpsmGeMuBTbEeSjXO6txypomxw+8YstvDp+Mz24aubbxzAFz+/Eg==" workbookSaltValue="g2eRtALXWcbNP73HDFy3PA==" workbookSpinCount="100000" lockStructure="1"/>
  <bookViews>
    <workbookView xWindow="19320" yWindow="240" windowWidth="38160" windowHeight="20520" activeTab="1" xr2:uid="{00000000-000D-0000-FFFF-FFFF00000000}"/>
  </bookViews>
  <sheets>
    <sheet name="Forside" sheetId="4" r:id="rId1"/>
    <sheet name="Sløyfe" sheetId="2" r:id="rId2"/>
    <sheet name="Klokkekurs" sheetId="6" r:id="rId3"/>
    <sheet name="Previdia Max" sheetId="3" r:id="rId4"/>
    <sheet name="Aspirasjon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9" l="1"/>
  <c r="M12" i="9" s="1"/>
  <c r="L11" i="9"/>
  <c r="N11" i="9" s="1"/>
  <c r="N10" i="9"/>
  <c r="L10" i="9"/>
  <c r="M10" i="9" s="1"/>
  <c r="N9" i="9"/>
  <c r="L9" i="9"/>
  <c r="M9" i="9" s="1"/>
  <c r="N8" i="9"/>
  <c r="M8" i="9"/>
  <c r="L8" i="9"/>
  <c r="L7" i="9"/>
  <c r="N7" i="9" s="1"/>
  <c r="K7" i="9"/>
  <c r="L6" i="9"/>
  <c r="N6" i="9" s="1"/>
  <c r="K6" i="9"/>
  <c r="K13" i="9" l="1"/>
  <c r="M7" i="9"/>
  <c r="M6" i="9"/>
  <c r="M11" i="9"/>
  <c r="N12" i="9"/>
  <c r="N13" i="9" s="1"/>
  <c r="M13" i="9" l="1"/>
  <c r="O6" i="9" s="1"/>
  <c r="P6" i="9" s="1"/>
  <c r="C10" i="9" s="1"/>
  <c r="B7" i="9" l="1"/>
  <c r="M18" i="2" l="1"/>
  <c r="V14" i="6" l="1"/>
  <c r="U14" i="6"/>
  <c r="T14" i="6"/>
  <c r="S14" i="6"/>
  <c r="R14" i="6"/>
  <c r="Q14" i="6"/>
  <c r="P14" i="6"/>
  <c r="O14" i="6"/>
  <c r="N14" i="6"/>
  <c r="V13" i="6"/>
  <c r="U13" i="6"/>
  <c r="T13" i="6"/>
  <c r="S13" i="6"/>
  <c r="R13" i="6"/>
  <c r="Q13" i="6"/>
  <c r="P13" i="6"/>
  <c r="O13" i="6"/>
  <c r="N13" i="6"/>
  <c r="V12" i="6"/>
  <c r="U12" i="6"/>
  <c r="T12" i="6"/>
  <c r="S12" i="6"/>
  <c r="R12" i="6"/>
  <c r="Q12" i="6"/>
  <c r="P12" i="6"/>
  <c r="O12" i="6"/>
  <c r="N12" i="6"/>
  <c r="V11" i="6"/>
  <c r="U11" i="6"/>
  <c r="T11" i="6"/>
  <c r="S11" i="6"/>
  <c r="R11" i="6"/>
  <c r="Q11" i="6"/>
  <c r="P11" i="6"/>
  <c r="O11" i="6"/>
  <c r="N11" i="6"/>
  <c r="V10" i="6"/>
  <c r="U10" i="6"/>
  <c r="T10" i="6"/>
  <c r="S10" i="6"/>
  <c r="R10" i="6"/>
  <c r="Q10" i="6"/>
  <c r="P10" i="6"/>
  <c r="O10" i="6"/>
  <c r="N10" i="6"/>
  <c r="V9" i="6"/>
  <c r="U9" i="6"/>
  <c r="T9" i="6"/>
  <c r="S9" i="6"/>
  <c r="R9" i="6"/>
  <c r="Q9" i="6"/>
  <c r="P9" i="6"/>
  <c r="O9" i="6"/>
  <c r="N9" i="6"/>
  <c r="V8" i="6"/>
  <c r="U8" i="6"/>
  <c r="T8" i="6"/>
  <c r="S8" i="6"/>
  <c r="R8" i="6"/>
  <c r="Q8" i="6"/>
  <c r="P8" i="6"/>
  <c r="O8" i="6"/>
  <c r="N8" i="6"/>
  <c r="V7" i="6"/>
  <c r="U7" i="6"/>
  <c r="T7" i="6"/>
  <c r="S7" i="6"/>
  <c r="R7" i="6"/>
  <c r="Q7" i="6"/>
  <c r="P7" i="6"/>
  <c r="O7" i="6"/>
  <c r="N7" i="6"/>
  <c r="V6" i="6"/>
  <c r="U6" i="6"/>
  <c r="T6" i="6"/>
  <c r="S6" i="6"/>
  <c r="R6" i="6"/>
  <c r="Q6" i="6"/>
  <c r="P6" i="6"/>
  <c r="O6" i="6"/>
  <c r="N6" i="6"/>
  <c r="V5" i="6"/>
  <c r="U5" i="6"/>
  <c r="T5" i="6"/>
  <c r="S5" i="6"/>
  <c r="R5" i="6"/>
  <c r="Q5" i="6"/>
  <c r="P5" i="6"/>
  <c r="O5" i="6"/>
  <c r="N5" i="6"/>
  <c r="V4" i="6"/>
  <c r="U4" i="6"/>
  <c r="T4" i="6"/>
  <c r="S4" i="6"/>
  <c r="R4" i="6"/>
  <c r="Q4" i="6"/>
  <c r="P4" i="6"/>
  <c r="O4" i="6"/>
  <c r="N4" i="6"/>
  <c r="V3" i="6"/>
  <c r="U3" i="6"/>
  <c r="T3" i="6"/>
  <c r="S3" i="6"/>
  <c r="R3" i="6"/>
  <c r="Q3" i="6"/>
  <c r="P3" i="6"/>
  <c r="O3" i="6"/>
  <c r="N3" i="6"/>
  <c r="V2" i="6"/>
  <c r="U2" i="6"/>
  <c r="T2" i="6"/>
  <c r="S2" i="6"/>
  <c r="R2" i="6"/>
  <c r="Q2" i="6"/>
  <c r="P2" i="6"/>
  <c r="O2" i="6"/>
  <c r="N2" i="6"/>
  <c r="C21" i="6" l="1"/>
  <c r="C20" i="6"/>
  <c r="C25" i="6"/>
  <c r="P26" i="6" s="1"/>
  <c r="F25" i="6" s="1"/>
  <c r="C24" i="6"/>
  <c r="C22" i="6"/>
  <c r="C26" i="6"/>
  <c r="P27" i="6" s="1"/>
  <c r="F26" i="6" s="1"/>
  <c r="C23" i="6"/>
  <c r="C19" i="6"/>
  <c r="P20" i="6" s="1"/>
  <c r="S26" i="6" l="1"/>
  <c r="O39" i="6" s="1"/>
  <c r="D25" i="6" s="1"/>
  <c r="G25" i="6" s="1"/>
  <c r="T26" i="6" s="1"/>
  <c r="P24" i="6"/>
  <c r="S24" i="6" s="1"/>
  <c r="O37" i="6" s="1"/>
  <c r="D23" i="6" s="1"/>
  <c r="G23" i="6" s="1"/>
  <c r="P21" i="6"/>
  <c r="S21" i="6" s="1"/>
  <c r="O34" i="6" s="1"/>
  <c r="D20" i="6" s="1"/>
  <c r="G20" i="6" s="1"/>
  <c r="S27" i="6"/>
  <c r="O40" i="6" s="1"/>
  <c r="D26" i="6" s="1"/>
  <c r="G26" i="6" s="1"/>
  <c r="H26" i="6" s="1"/>
  <c r="P23" i="6"/>
  <c r="F22" i="6" s="1"/>
  <c r="P22" i="6"/>
  <c r="F21" i="6" s="1"/>
  <c r="P25" i="6"/>
  <c r="F24" i="6" s="1"/>
  <c r="O30" i="6"/>
  <c r="F19" i="6"/>
  <c r="F20" i="6" l="1"/>
  <c r="H20" i="6" s="1"/>
  <c r="U26" i="6"/>
  <c r="H25" i="6"/>
  <c r="T21" i="6"/>
  <c r="U27" i="6"/>
  <c r="T27" i="6"/>
  <c r="F23" i="6"/>
  <c r="H23" i="6" s="1"/>
  <c r="T24" i="6"/>
  <c r="U24" i="6"/>
  <c r="S23" i="6"/>
  <c r="O36" i="6" s="1"/>
  <c r="D22" i="6" s="1"/>
  <c r="G22" i="6" s="1"/>
  <c r="H22" i="6" s="1"/>
  <c r="U21" i="6"/>
  <c r="S22" i="6"/>
  <c r="O35" i="6" s="1"/>
  <c r="D21" i="6" s="1"/>
  <c r="G21" i="6" s="1"/>
  <c r="H21" i="6" s="1"/>
  <c r="S25" i="6"/>
  <c r="O38" i="6" s="1"/>
  <c r="D24" i="6" s="1"/>
  <c r="G24" i="6" s="1"/>
  <c r="S20" i="6"/>
  <c r="O33" i="6" s="1"/>
  <c r="D19" i="6" s="1"/>
  <c r="G19" i="6" s="1"/>
  <c r="H19" i="6" s="1"/>
  <c r="T22" i="6" l="1"/>
  <c r="U22" i="6"/>
  <c r="T25" i="6"/>
  <c r="U25" i="6"/>
  <c r="T23" i="6"/>
  <c r="U23" i="6"/>
  <c r="H24" i="6"/>
  <c r="U20" i="6"/>
  <c r="T20" i="6"/>
  <c r="W33" i="3" l="1"/>
  <c r="W39" i="3" l="1"/>
  <c r="W38" i="3"/>
  <c r="W37" i="3"/>
  <c r="W36" i="3"/>
  <c r="W35" i="3"/>
  <c r="W34" i="3"/>
  <c r="X33" i="3"/>
  <c r="W40" i="3" l="1"/>
  <c r="W44" i="3" l="1"/>
  <c r="W47" i="3" s="1"/>
  <c r="U31" i="3"/>
  <c r="U29" i="3"/>
  <c r="U30" i="3"/>
  <c r="U28" i="3"/>
  <c r="W27" i="3"/>
  <c r="U27" i="3" s="1"/>
  <c r="W26" i="3"/>
  <c r="U26" i="3" s="1"/>
  <c r="U25" i="3"/>
  <c r="U32" i="3" l="1"/>
  <c r="W43" i="3" l="1"/>
  <c r="W46" i="3" s="1"/>
  <c r="W48" i="3" s="1"/>
  <c r="L24" i="3" s="1"/>
  <c r="M17" i="2"/>
  <c r="M10" i="2"/>
  <c r="M14" i="2"/>
  <c r="M15" i="2"/>
  <c r="M16" i="2"/>
  <c r="M13" i="2"/>
  <c r="Q6" i="2" l="1"/>
  <c r="P6" i="2"/>
  <c r="M6" i="2"/>
  <c r="R6" i="2" l="1"/>
  <c r="E5" i="2" s="1"/>
  <c r="E13" i="2" s="1"/>
  <c r="M12" i="2"/>
  <c r="M3" i="2" s="1"/>
  <c r="C4" i="2" s="1"/>
  <c r="M4" i="2" l="1"/>
  <c r="E3" i="2"/>
  <c r="M5" i="2" l="1"/>
  <c r="M7" i="2" s="1"/>
  <c r="M9" i="2" s="1"/>
  <c r="C13" i="2"/>
  <c r="M8" i="2" l="1"/>
  <c r="E10" i="2"/>
  <c r="E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Bruker</author>
  </authors>
  <commentList>
    <comment ref="C6" authorId="0" shapeId="0" xr:uid="{9CE54B4F-4FFA-42E8-88BA-1CE14C901F87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Legg inn tversnitt på sløyfekabel
Bruk piltastene eller skriv inn manuelt</t>
        </r>
      </text>
    </comment>
    <comment ref="C7" authorId="0" shapeId="0" xr:uid="{614D9E29-85BF-43FE-B8BD-E8C371A9DD66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Antall sokkelsummere på sløyfa
Bruk piltastene eller skriv inn manuelt
</t>
        </r>
      </text>
    </comment>
    <comment ref="C8" authorId="0" shapeId="0" xr:uid="{91B41441-9699-4E7B-B92E-494FCEBB7FE0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Antall sløyfesirener på sløyfa
Bruk piltastene eller skriv inn manuelt</t>
        </r>
      </text>
    </comment>
    <comment ref="C9" authorId="0" shapeId="0" xr:uid="{712FD6A6-5EA0-4DC0-A398-7AD49EC91840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Antall sløyfesirener m/falsh på sløyfa
Bruk piltastene eller skriv inn manuelt</t>
        </r>
      </text>
    </comment>
    <comment ref="C10" authorId="0" shapeId="0" xr:uid="{C0E7B7A8-2891-4527-B971-61BF0D89796A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Antall sokkelsummere m/ Flash på sløyfa
Bruk piltastene eller skriv inn manuelt</t>
        </r>
      </text>
    </comment>
    <comment ref="C12" authorId="0" shapeId="0" xr:uid="{7253A0A0-E8E6-4B8F-AB66-283A3D2A121D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Totale antall av detektorer på sløyfa
Bruk piltastene eller skriv inn manuelt</t>
        </r>
      </text>
    </comment>
    <comment ref="C13" authorId="0" shapeId="0" xr:uid="{CA2EF577-7B8F-404F-8B02-70A8E518AB2F}">
      <text>
        <r>
          <rPr>
            <b/>
            <sz val="9"/>
            <color indexed="81"/>
            <rFont val="Tahoma"/>
            <family val="2"/>
          </rPr>
          <t>Bruker:</t>
        </r>
        <r>
          <rPr>
            <sz val="9"/>
            <color indexed="81"/>
            <rFont val="Tahoma"/>
            <family val="2"/>
          </rPr>
          <t xml:space="preserve">
Denne cellen er låst og kan ikke endres manuelt. Ved å legge inn kabellengde og tversnitt, vil resistansen komme opp 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Teigstad</author>
  </authors>
  <commentList>
    <comment ref="C4" authorId="0" shapeId="0" xr:uid="{8D444D5C-F0CB-4A06-A13E-E8D900F602BD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Legg inn verdi i mA
Maksimalt 0,500</t>
        </r>
      </text>
    </comment>
    <comment ref="F4" authorId="0" shapeId="0" xr:uid="{EF8E9E05-1250-4C28-8938-DF97AF7DBA00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Legg inn antall utganger som er i bruk pr modul
Antall kan være mellom 0-4</t>
        </r>
      </text>
    </comment>
    <comment ref="I4" authorId="0" shapeId="0" xr:uid="{D7DEA752-801C-42F4-B0A5-959854F36133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Legg inn antall sirener tilkoblet pr kort. Maksimalt 20 sirener pr. utgang</t>
        </r>
      </text>
    </comment>
    <comment ref="K4" authorId="0" shapeId="0" xr:uid="{D477E9D9-F918-440F-B8A3-15723E161627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Det kan kun være 1 IFMDIAL pr sentral</t>
        </r>
      </text>
    </comment>
    <comment ref="M4" authorId="0" shapeId="0" xr:uid="{9E4EB8D8-CBBC-4073-86F8-1508124B5526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Det kan kun være 4 IFM16IO pr sentral</t>
        </r>
      </text>
    </comment>
    <comment ref="O4" authorId="0" shapeId="0" xr:uid="{864C1298-67D3-4665-A993-1CA5DDA5D54F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Det kan kun være 1 IFMNET pr sentral</t>
        </r>
      </text>
    </comment>
    <comment ref="Q4" authorId="0" shapeId="0" xr:uid="{77BA037C-66BB-4406-ACF4-0135BA856989}">
      <text>
        <r>
          <rPr>
            <b/>
            <sz val="9"/>
            <color indexed="81"/>
            <rFont val="Tahoma"/>
            <family val="2"/>
          </rPr>
          <t>Christopher Teigstad:</t>
        </r>
        <r>
          <rPr>
            <sz val="9"/>
            <color indexed="81"/>
            <rFont val="Tahoma"/>
            <family val="2"/>
          </rPr>
          <t xml:space="preserve">
Det kan kun være 1 IFMLAN pr sentral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A9F447B-0A7E-4E8A-AEF8-598CC373B599}" keepAlive="1" name="Spørring - Ark1" description="Tilkobling til spørringen Ark1 i arbeidsboken." type="5" refreshedVersion="6" background="1" saveData="1">
    <dbPr connection="Provider=Microsoft.Mashup.OleDb.1;Data Source=$Workbook$;Location=Ark1;Extended Properties=&quot;&quot;" command="SELECT * FROM [Ark1]"/>
  </connection>
</connections>
</file>

<file path=xl/sharedStrings.xml><?xml version="1.0" encoding="utf-8"?>
<sst xmlns="http://schemas.openxmlformats.org/spreadsheetml/2006/main" count="228" uniqueCount="153">
  <si>
    <t>m</t>
  </si>
  <si>
    <t>Kabellengde</t>
  </si>
  <si>
    <t>Ω</t>
  </si>
  <si>
    <t>Resistansen</t>
  </si>
  <si>
    <t>Spenning</t>
  </si>
  <si>
    <t>ΔV</t>
  </si>
  <si>
    <t>Spennigsfallet</t>
  </si>
  <si>
    <t>Tversnitt</t>
  </si>
  <si>
    <t>A</t>
  </si>
  <si>
    <t>Strømtrekk</t>
  </si>
  <si>
    <t>Sokkelsummer ISB1011</t>
  </si>
  <si>
    <t>V</t>
  </si>
  <si>
    <t>Sløyfespenning</t>
  </si>
  <si>
    <t>Sløyfesirene ES2011</t>
  </si>
  <si>
    <t>P</t>
  </si>
  <si>
    <t>Effekt i kabel</t>
  </si>
  <si>
    <t>Sløyfesirene / flash ES2021</t>
  </si>
  <si>
    <t>Nytteeffekt</t>
  </si>
  <si>
    <t>ΔUMax</t>
  </si>
  <si>
    <t>Hush EM600</t>
  </si>
  <si>
    <t>Detektorer</t>
  </si>
  <si>
    <t>Kableresistans</t>
  </si>
  <si>
    <t>ISB1011</t>
  </si>
  <si>
    <t>ES2011</t>
  </si>
  <si>
    <t>ES2021</t>
  </si>
  <si>
    <t>ISB1021</t>
  </si>
  <si>
    <t>EM600</t>
  </si>
  <si>
    <t>Totaleffekt</t>
  </si>
  <si>
    <t>Kurs 1</t>
  </si>
  <si>
    <t>Kurs 2</t>
  </si>
  <si>
    <t>Kurs 3</t>
  </si>
  <si>
    <t>Kurs 4</t>
  </si>
  <si>
    <t>Kurs 5</t>
  </si>
  <si>
    <t>Kurs 6</t>
  </si>
  <si>
    <t>Kurs 7</t>
  </si>
  <si>
    <t>Kurs 8</t>
  </si>
  <si>
    <t>Type</t>
  </si>
  <si>
    <t>Beskrivelse</t>
  </si>
  <si>
    <t>Forbruk</t>
  </si>
  <si>
    <t>Antall kurs 1</t>
  </si>
  <si>
    <t>Antall kurs 2</t>
  </si>
  <si>
    <t>Antall kurs 3</t>
  </si>
  <si>
    <t>Antall kurs 4</t>
  </si>
  <si>
    <t>Antall kurs 5</t>
  </si>
  <si>
    <t>Antall kurs 6</t>
  </si>
  <si>
    <t>Antall kurs 7</t>
  </si>
  <si>
    <t>Antall kurs 8</t>
  </si>
  <si>
    <t>IS1011</t>
  </si>
  <si>
    <t>Summer tak</t>
  </si>
  <si>
    <t>IS1021</t>
  </si>
  <si>
    <t>Summer/flash tak</t>
  </si>
  <si>
    <t>IS2011</t>
  </si>
  <si>
    <t>Sirene vegg</t>
  </si>
  <si>
    <t>IS2021</t>
  </si>
  <si>
    <t>Sirene/flash vegg</t>
  </si>
  <si>
    <t>ISC010E</t>
  </si>
  <si>
    <t>Klokkesirene</t>
  </si>
  <si>
    <t>ISS021</t>
  </si>
  <si>
    <t>Sirene skilt</t>
  </si>
  <si>
    <t>ISS022</t>
  </si>
  <si>
    <t>Sirene/flash skilt</t>
  </si>
  <si>
    <t>511-098L</t>
  </si>
  <si>
    <t>Sirene/flash tak</t>
  </si>
  <si>
    <t>Strøm (A)</t>
  </si>
  <si>
    <t>Maksimal kabellengde</t>
  </si>
  <si>
    <t>Ohm kabel</t>
  </si>
  <si>
    <t>Spenningsfall</t>
  </si>
  <si>
    <t>mm2 i kabel</t>
  </si>
  <si>
    <t>Strøm</t>
  </si>
  <si>
    <t>Maksimal spenningsfall</t>
  </si>
  <si>
    <t>Maksimal R</t>
  </si>
  <si>
    <t>Ikmin  24V</t>
  </si>
  <si>
    <t>IK min 20V</t>
  </si>
  <si>
    <t>Lengde</t>
  </si>
  <si>
    <t>kurs 1</t>
  </si>
  <si>
    <t>kurs 2</t>
  </si>
  <si>
    <t>kurs 3</t>
  </si>
  <si>
    <t>kurs 4</t>
  </si>
  <si>
    <t>kurs 5</t>
  </si>
  <si>
    <t>kurs 6</t>
  </si>
  <si>
    <t>kurs 7</t>
  </si>
  <si>
    <t>kurs 8</t>
  </si>
  <si>
    <t>Bergnet strømtrekk</t>
  </si>
  <si>
    <t>Antall</t>
  </si>
  <si>
    <t>IFM2L</t>
  </si>
  <si>
    <t>Sløyfe nr.1</t>
  </si>
  <si>
    <t>IFM4R</t>
  </si>
  <si>
    <t>Modul 1</t>
  </si>
  <si>
    <t>IFM4IO</t>
  </si>
  <si>
    <t>IFMDIAL</t>
  </si>
  <si>
    <t>IFM16IO</t>
  </si>
  <si>
    <t>IFMNET</t>
  </si>
  <si>
    <t>IFMLAN</t>
  </si>
  <si>
    <t>Sløyfe nr.2</t>
  </si>
  <si>
    <t>Modul 2</t>
  </si>
  <si>
    <t>Sløyfe nr.3</t>
  </si>
  <si>
    <t>Modul 3</t>
  </si>
  <si>
    <t>Sløyfe nr.4</t>
  </si>
  <si>
    <t>Modul 4</t>
  </si>
  <si>
    <t>Sløyfe nr.5</t>
  </si>
  <si>
    <t>Modul 5</t>
  </si>
  <si>
    <t>Sløyfe nr.6</t>
  </si>
  <si>
    <t>Modul 6</t>
  </si>
  <si>
    <t>Sløyfe nr.7</t>
  </si>
  <si>
    <t>Modul 7</t>
  </si>
  <si>
    <t>Sløyfe nr.8</t>
  </si>
  <si>
    <t>Modul 8</t>
  </si>
  <si>
    <t>Sløyfe nr.9</t>
  </si>
  <si>
    <t>Modul 9</t>
  </si>
  <si>
    <t>Sløyfe nr.10</t>
  </si>
  <si>
    <t>Modul 10</t>
  </si>
  <si>
    <t>Sløyfe nr.11</t>
  </si>
  <si>
    <t>Modul 11</t>
  </si>
  <si>
    <t>Sløyfe nr.12</t>
  </si>
  <si>
    <t>Modul 12</t>
  </si>
  <si>
    <t>Sløyfe nr.13</t>
  </si>
  <si>
    <t>Modul 13</t>
  </si>
  <si>
    <t>Sløyfe nr.14</t>
  </si>
  <si>
    <t>Modul 14</t>
  </si>
  <si>
    <t>Sløyfe nr.15</t>
  </si>
  <si>
    <t>Modul 15</t>
  </si>
  <si>
    <t>Sløyfe nr.16</t>
  </si>
  <si>
    <t>Modul 16</t>
  </si>
  <si>
    <t>Moduler</t>
  </si>
  <si>
    <t>Maximalt antall moduler pr sentral</t>
  </si>
  <si>
    <t xml:space="preserve">Antall PRECAB </t>
  </si>
  <si>
    <t>IFMEXT</t>
  </si>
  <si>
    <t>Precab strøm</t>
  </si>
  <si>
    <t>Precab modul</t>
  </si>
  <si>
    <t>Valg av strømforsyning</t>
  </si>
  <si>
    <t>Valg av aspirasjonsdetektor</t>
  </si>
  <si>
    <t>SPS24060</t>
  </si>
  <si>
    <t>SPS24160</t>
  </si>
  <si>
    <t>ASD 531</t>
  </si>
  <si>
    <t>ASD 532</t>
  </si>
  <si>
    <t>normal</t>
  </si>
  <si>
    <t>alarm</t>
  </si>
  <si>
    <t>batteri</t>
  </si>
  <si>
    <t>antall</t>
  </si>
  <si>
    <t>forbruk standby</t>
  </si>
  <si>
    <t>forbruk alarm</t>
  </si>
  <si>
    <t>Resultat</t>
  </si>
  <si>
    <t>ASD 533</t>
  </si>
  <si>
    <t>ASD 535-1</t>
  </si>
  <si>
    <t>ASD 535-2</t>
  </si>
  <si>
    <t>ASD 535-3</t>
  </si>
  <si>
    <t>Antall timer</t>
  </si>
  <si>
    <t>ASD 535-4</t>
  </si>
  <si>
    <t>Sokkelsummer / flash ISB2021</t>
  </si>
  <si>
    <t>Maks spenningsfall</t>
  </si>
  <si>
    <t>Maks R</t>
  </si>
  <si>
    <t>Maksimal sløyfelengde</t>
  </si>
  <si>
    <t>Addresser på sløyfa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</si>
</sst>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09193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0" borderId="0" xfId="0" applyProtection="1">
      <protection locked="0"/>
    </xf>
    <xf numFmtId="0" fontId="0" fillId="2" borderId="1" xfId="0" applyFill="1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7" xfId="0" applyFill="1" applyBorder="1"/>
    <xf numFmtId="2" fontId="6" fillId="3" borderId="0" xfId="0" applyNumberFormat="1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0" fillId="2" borderId="8" xfId="0" applyFill="1" applyBorder="1"/>
    <xf numFmtId="0" fontId="0" fillId="2" borderId="23" xfId="0" applyFill="1" applyBorder="1"/>
    <xf numFmtId="0" fontId="0" fillId="2" borderId="21" xfId="0" applyFill="1" applyBorder="1"/>
    <xf numFmtId="165" fontId="0" fillId="2" borderId="28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16" xfId="0" applyFill="1" applyBorder="1"/>
    <xf numFmtId="0" fontId="0" fillId="2" borderId="18" xfId="0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5" fontId="7" fillId="3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0" fillId="4" borderId="19" xfId="0" applyFill="1" applyBorder="1"/>
    <xf numFmtId="0" fontId="0" fillId="4" borderId="1" xfId="0" applyFill="1" applyBorder="1"/>
    <xf numFmtId="0" fontId="0" fillId="5" borderId="1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4" borderId="13" xfId="0" applyFill="1" applyBorder="1"/>
    <xf numFmtId="0" fontId="0" fillId="4" borderId="16" xfId="0" applyFill="1" applyBorder="1"/>
    <xf numFmtId="0" fontId="0" fillId="4" borderId="17" xfId="0" applyFill="1" applyBorder="1"/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8" fillId="4" borderId="35" xfId="0" applyFont="1" applyFill="1" applyBorder="1"/>
    <xf numFmtId="2" fontId="0" fillId="4" borderId="1" xfId="0" applyNumberFormat="1" applyFill="1" applyBorder="1"/>
    <xf numFmtId="164" fontId="0" fillId="4" borderId="1" xfId="0" applyNumberFormat="1" applyFill="1" applyBorder="1"/>
    <xf numFmtId="164" fontId="0" fillId="4" borderId="20" xfId="0" applyNumberFormat="1" applyFill="1" applyBorder="1"/>
    <xf numFmtId="0" fontId="0" fillId="6" borderId="36" xfId="0" applyFill="1" applyBorder="1" applyProtection="1">
      <protection locked="0"/>
    </xf>
    <xf numFmtId="2" fontId="0" fillId="0" borderId="0" xfId="0" applyNumberFormat="1"/>
    <xf numFmtId="2" fontId="0" fillId="4" borderId="17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0" fontId="9" fillId="0" borderId="0" xfId="0" applyFont="1"/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0" xfId="0" applyNumberFormat="1" applyFont="1" applyFill="1" applyAlignment="1" applyProtection="1">
      <alignment horizontal="center" vertical="center"/>
      <protection hidden="1"/>
    </xf>
    <xf numFmtId="165" fontId="7" fillId="2" borderId="12" xfId="0" applyNumberFormat="1" applyFont="1" applyFill="1" applyBorder="1" applyAlignment="1" applyProtection="1">
      <alignment horizontal="center" vertical="center"/>
      <protection hidden="1"/>
    </xf>
    <xf numFmtId="165" fontId="7" fillId="2" borderId="4" xfId="0" applyNumberFormat="1" applyFont="1" applyFill="1" applyBorder="1" applyAlignment="1" applyProtection="1">
      <alignment horizontal="center" vertical="center"/>
      <protection hidden="1"/>
    </xf>
    <xf numFmtId="165" fontId="7" fillId="2" borderId="7" xfId="0" applyNumberFormat="1" applyFont="1" applyFill="1" applyBorder="1" applyAlignment="1" applyProtection="1">
      <alignment horizontal="center" vertical="center"/>
      <protection hidden="1"/>
    </xf>
    <xf numFmtId="165" fontId="7" fillId="2" borderId="5" xfId="0" applyNumberFormat="1" applyFont="1" applyFill="1" applyBorder="1" applyAlignment="1" applyProtection="1">
      <alignment horizontal="center" vertical="center"/>
      <protection hidden="1"/>
    </xf>
    <xf numFmtId="2" fontId="6" fillId="2" borderId="2" xfId="0" applyNumberFormat="1" applyFont="1" applyFill="1" applyBorder="1" applyAlignment="1" applyProtection="1">
      <alignment horizontal="center" vertical="center"/>
      <protection hidden="1"/>
    </xf>
    <xf numFmtId="2" fontId="6" fillId="2" borderId="6" xfId="0" applyNumberFormat="1" applyFont="1" applyFill="1" applyBorder="1" applyAlignment="1" applyProtection="1">
      <alignment horizontal="center" vertical="center"/>
      <protection hidden="1"/>
    </xf>
    <xf numFmtId="2" fontId="6" fillId="2" borderId="3" xfId="0" applyNumberFormat="1" applyFont="1" applyFill="1" applyBorder="1" applyAlignment="1" applyProtection="1">
      <alignment horizontal="center" vertical="center"/>
      <protection hidden="1"/>
    </xf>
    <xf numFmtId="2" fontId="6" fillId="2" borderId="4" xfId="0" applyNumberFormat="1" applyFont="1" applyFill="1" applyBorder="1" applyAlignment="1" applyProtection="1">
      <alignment horizontal="center" vertical="center"/>
      <protection hidden="1"/>
    </xf>
    <xf numFmtId="2" fontId="6" fillId="2" borderId="7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1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7" borderId="17" xfId="0" applyNumberForma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Spin" dx="22" fmlaLink="$C$6" max="30" page="10"/>
</file>

<file path=xl/ctrlProps/ctrlProp2.xml><?xml version="1.0" encoding="utf-8"?>
<formControlPr xmlns="http://schemas.microsoft.com/office/spreadsheetml/2009/9/main" objectType="Spin" dx="22" fmlaLink="$C$7" max="3000" page="10" val="0"/>
</file>

<file path=xl/ctrlProps/ctrlProp3.xml><?xml version="1.0" encoding="utf-8"?>
<formControlPr xmlns="http://schemas.microsoft.com/office/spreadsheetml/2009/9/main" objectType="Spin" dx="22" fmlaLink="$C$8" max="30" page="10" val="0"/>
</file>

<file path=xl/ctrlProps/ctrlProp4.xml><?xml version="1.0" encoding="utf-8"?>
<formControlPr xmlns="http://schemas.microsoft.com/office/spreadsheetml/2009/9/main" objectType="Spin" dx="22" fmlaLink="$C$9" max="30" page="10" val="0"/>
</file>

<file path=xl/ctrlProps/ctrlProp5.xml><?xml version="1.0" encoding="utf-8"?>
<formControlPr xmlns="http://schemas.microsoft.com/office/spreadsheetml/2009/9/main" objectType="Spin" dx="22" fmlaLink="$C$10" max="30" page="10" val="20"/>
</file>

<file path=xl/ctrlProps/ctrlProp6.xml><?xml version="1.0" encoding="utf-8"?>
<formControlPr xmlns="http://schemas.microsoft.com/office/spreadsheetml/2009/9/main" objectType="Spin" dx="22" max="100" page="10" val="2"/>
</file>

<file path=xl/ctrlProps/ctrlProp7.xml><?xml version="1.0" encoding="utf-8"?>
<formControlPr xmlns="http://schemas.microsoft.com/office/spreadsheetml/2009/9/main" objectType="Spin" dx="22" fmlaLink="$C$12" max="300" page="10" val="10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19050</xdr:rowOff>
    </xdr:from>
    <xdr:ext cx="17630775" cy="6867525"/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19050"/>
          <a:ext cx="17630775" cy="6867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400"/>
            <a:t>Her har vi laget et hjelpeverktøy for deg som skal beregne strømtrekk på sløyfer</a:t>
          </a:r>
          <a:r>
            <a:rPr lang="nb-NO" sz="1400" baseline="0"/>
            <a:t> og det totale strømtrekk i en Previdia Max sentral.</a:t>
          </a:r>
        </a:p>
        <a:p>
          <a:endParaRPr lang="nb-NO" sz="1400" baseline="0"/>
        </a:p>
        <a:p>
          <a:r>
            <a:rPr lang="nb-NO" sz="1400" baseline="0"/>
            <a:t>Ark "Sløyfe" tar for seg strømtrekkberegning på sløyfene når sentralen er i alarm. Du beregner 1 og 1 sløyfe her.</a:t>
          </a:r>
        </a:p>
        <a:p>
          <a:r>
            <a:rPr lang="nb-NO" sz="1400" baseline="0"/>
            <a:t>Dette arket kan du bruke når du skal beregne strømtrekk på sløyfer tilkoblet SmartLoop, Previdia Compact og Previdia Max.</a:t>
          </a:r>
        </a:p>
        <a:p>
          <a:endParaRPr lang="nb-NO" sz="1400" baseline="0"/>
        </a:p>
        <a:p>
          <a:r>
            <a:rPr lang="nb-NO" sz="1400" baseline="0"/>
            <a:t>Det er lagt inn en hjelpetekst på alle redigerbare</a:t>
          </a:r>
        </a:p>
        <a:p>
          <a:r>
            <a:rPr lang="nb-NO" sz="1400" baseline="0"/>
            <a:t>celler som beskriver hvilke verdier som skal legges</a:t>
          </a:r>
        </a:p>
        <a:p>
          <a:r>
            <a:rPr lang="nb-NO" sz="1400" baseline="0"/>
            <a:t>inn. Celler som ikke er relevant, lar du stå åpne.</a:t>
          </a:r>
        </a:p>
        <a:p>
          <a:r>
            <a:rPr lang="nb-NO" sz="1400" baseline="0"/>
            <a:t>Det er ikke nødvendig å skrive "0".</a:t>
          </a:r>
        </a:p>
        <a:p>
          <a:endParaRPr lang="nb-NO" sz="1400" baseline="0"/>
        </a:p>
        <a:p>
          <a:r>
            <a:rPr lang="nb-NO" sz="1400" baseline="0"/>
            <a:t>Når alle relevante verdier er lagt inn, vil regnearket automatisk beregne det totale strømtrekket på sløyfen ved ALARM.																		</a:t>
          </a:r>
        </a:p>
        <a:p>
          <a:r>
            <a:rPr lang="nb-NO" sz="1400" baseline="0"/>
            <a:t>Ved bruk av Previdia Compact eller Previdia Max, er det mulig å alternere varslingsorganer tilkoblet sløyfa. 			</a:t>
          </a:r>
        </a:p>
        <a:p>
          <a:r>
            <a:rPr lang="nb-NO" sz="1400" baseline="0"/>
            <a:t>Regnearket beregner også sløyfespenning og vil beskjed om sløyfespenningen blir for lav.															</a:t>
          </a:r>
        </a:p>
        <a:p>
          <a:endParaRPr lang="nb-NO" sz="1400" baseline="0"/>
        </a:p>
        <a:p>
          <a:endParaRPr lang="nb-NO" sz="1400" baseline="0"/>
        </a:p>
        <a:p>
          <a:r>
            <a:rPr lang="nb-NO" sz="1400" baseline="0"/>
            <a:t>Ark "Previdia Max" tar for seg strømtrekkbergning totalt for hele sentralen og vil beregne antal Precabinetter. </a:t>
          </a:r>
        </a:p>
        <a:p>
          <a:endParaRPr lang="nb-NO" sz="1400" baseline="0"/>
        </a:p>
        <a:p>
          <a:r>
            <a:rPr lang="nb-NO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 er lagt inn en hjelpetekst på alle redigerbare</a:t>
          </a:r>
          <a:endParaRPr lang="nb-NO" sz="1400">
            <a:effectLst/>
          </a:endParaRPr>
        </a:p>
        <a:p>
          <a:r>
            <a:rPr lang="nb-NO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celler som beskriver hvilke verdier som skal legges</a:t>
          </a:r>
          <a:endParaRPr lang="nb-NO" sz="1400">
            <a:effectLst/>
          </a:endParaRPr>
        </a:p>
        <a:p>
          <a:r>
            <a:rPr lang="nb-NO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inn. Celler som ikke er relevant må være blanke.</a:t>
          </a:r>
          <a:endParaRPr lang="nb-NO" sz="1400">
            <a:effectLst/>
          </a:endParaRPr>
        </a:p>
        <a:p>
          <a:r>
            <a:rPr lang="nb-NO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 kan ikke skrive "0" da arket også teller moduler. </a:t>
          </a:r>
          <a:endParaRPr lang="nb-NO" sz="1400">
            <a:effectLst/>
          </a:endParaRPr>
        </a:p>
        <a:p>
          <a:endParaRPr lang="nb-NO" sz="1400" baseline="0"/>
        </a:p>
        <a:p>
          <a:r>
            <a:rPr lang="nb-NO" sz="1400" baseline="0"/>
            <a:t>Strømtrekk på sløyfer legges inn med verdi A.</a:t>
          </a:r>
        </a:p>
        <a:p>
          <a:r>
            <a:rPr lang="nb-NO" sz="1400" baseline="0"/>
            <a:t>Beregn strømtrekk på sløyfene i Ark "Sløyfe" og legg verdiene i ark "Previdia Max"</a:t>
          </a:r>
        </a:p>
        <a:p>
          <a:endParaRPr lang="nb-NO" sz="1400" baseline="0"/>
        </a:p>
        <a:p>
          <a:endParaRPr lang="nb-NO" sz="1400"/>
        </a:p>
      </xdr:txBody>
    </xdr:sp>
    <xdr:clientData/>
  </xdr:oneCellAnchor>
  <xdr:twoCellAnchor editAs="oneCell">
    <xdr:from>
      <xdr:col>5</xdr:col>
      <xdr:colOff>234950</xdr:colOff>
      <xdr:row>6</xdr:row>
      <xdr:rowOff>34925</xdr:rowOff>
    </xdr:from>
    <xdr:to>
      <xdr:col>7</xdr:col>
      <xdr:colOff>596900</xdr:colOff>
      <xdr:row>10</xdr:row>
      <xdr:rowOff>73213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4950" y="1177925"/>
          <a:ext cx="1885950" cy="800288"/>
        </a:xfrm>
        <a:prstGeom prst="rect">
          <a:avLst/>
        </a:prstGeom>
      </xdr:spPr>
    </xdr:pic>
    <xdr:clientData/>
  </xdr:twoCellAnchor>
  <xdr:twoCellAnchor editAs="oneCell">
    <xdr:from>
      <xdr:col>13</xdr:col>
      <xdr:colOff>638175</xdr:colOff>
      <xdr:row>3</xdr:row>
      <xdr:rowOff>101353</xdr:rowOff>
    </xdr:from>
    <xdr:to>
      <xdr:col>17</xdr:col>
      <xdr:colOff>466726</xdr:colOff>
      <xdr:row>10</xdr:row>
      <xdr:rowOff>159732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44175" y="672853"/>
          <a:ext cx="2876551" cy="139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247650</xdr:colOff>
          <xdr:row>6</xdr:row>
          <xdr:rowOff>9525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247650</xdr:colOff>
          <xdr:row>7</xdr:row>
          <xdr:rowOff>9525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9525</xdr:rowOff>
        </xdr:from>
        <xdr:to>
          <xdr:col>3</xdr:col>
          <xdr:colOff>247650</xdr:colOff>
          <xdr:row>8</xdr:row>
          <xdr:rowOff>9525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247650</xdr:colOff>
          <xdr:row>9</xdr:row>
          <xdr:rowOff>9525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3</xdr:col>
          <xdr:colOff>247650</xdr:colOff>
          <xdr:row>10</xdr:row>
          <xdr:rowOff>9525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247650</xdr:colOff>
          <xdr:row>11</xdr:row>
          <xdr:rowOff>9525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247650</xdr:colOff>
          <xdr:row>12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10</xdr:col>
      <xdr:colOff>85725</xdr:colOff>
      <xdr:row>5</xdr:row>
      <xdr:rowOff>123824</xdr:rowOff>
    </xdr:from>
    <xdr:ext cx="2895600" cy="3598934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53425" y="1733549"/>
          <a:ext cx="2895600" cy="35989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400"/>
            <a:t>Dette</a:t>
          </a:r>
          <a:r>
            <a:rPr lang="nb-NO" sz="1400" baseline="0"/>
            <a:t> er et lite programm for beregning av brannsløyfer tilkoblet SmartLoop og Previdia</a:t>
          </a:r>
        </a:p>
        <a:p>
          <a:endParaRPr lang="nb-NO" sz="1400" baseline="0"/>
        </a:p>
        <a:p>
          <a:r>
            <a:rPr lang="nb-NO" sz="1400" baseline="0"/>
            <a:t>Skriv inn verdiene i cellene til høyre for de elementene som er ønskelig å ha på sløyfen. Celler som ikke er relevante kan du la stå åpne. Det er ikke nødvendig å skrive "0".</a:t>
          </a:r>
        </a:p>
        <a:p>
          <a:endParaRPr lang="nb-NO" sz="1400" baseline="0"/>
        </a:p>
        <a:p>
          <a:r>
            <a:rPr lang="nb-NO" sz="1400" baseline="0"/>
            <a:t>Det er i tillegg lagt inn en beskrivesle av hva som legges inn i hver celle.</a:t>
          </a:r>
        </a:p>
        <a:p>
          <a:r>
            <a:rPr lang="nb-NO" sz="1400" baseline="0"/>
            <a:t>Beskrivelsen vil komme opp i eget vindu ved å holde musepekeren over cellen som er markert med rødt hjørne.</a:t>
          </a:r>
        </a:p>
      </xdr:txBody>
    </xdr:sp>
    <xdr:clientData/>
  </xdr:oneCellAnchor>
  <xdr:twoCellAnchor editAs="oneCell">
    <xdr:from>
      <xdr:col>9</xdr:col>
      <xdr:colOff>695324</xdr:colOff>
      <xdr:row>1</xdr:row>
      <xdr:rowOff>196963</xdr:rowOff>
    </xdr:from>
    <xdr:to>
      <xdr:col>18</xdr:col>
      <xdr:colOff>1409700</xdr:colOff>
      <xdr:row>5</xdr:row>
      <xdr:rowOff>169617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01024" y="387463"/>
          <a:ext cx="2876551" cy="139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0</xdr:row>
      <xdr:rowOff>190502</xdr:rowOff>
    </xdr:from>
    <xdr:to>
      <xdr:col>27</xdr:col>
      <xdr:colOff>438151</xdr:colOff>
      <xdr:row>8</xdr:row>
      <xdr:rowOff>76201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106275" y="190502"/>
          <a:ext cx="4695826" cy="3305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r>
            <a:rPr lang="nb-NO" sz="1100"/>
            <a:t>Dette arket vil beregne</a:t>
          </a:r>
          <a:r>
            <a:rPr lang="nb-NO" sz="1100" baseline="0"/>
            <a:t> den maksimale kabellengden for klokkekurser basser på antall varslingsorganer og kabeltversnitt</a:t>
          </a:r>
          <a:endParaRPr lang="nb-NO" sz="1100"/>
        </a:p>
        <a:p>
          <a:endParaRPr lang="nb-NO" sz="1100"/>
        </a:p>
        <a:p>
          <a:r>
            <a:rPr lang="nb-NO" sz="1100"/>
            <a:t>1. Legg inn det</a:t>
          </a:r>
          <a:r>
            <a:rPr lang="nb-NO" sz="1100" baseline="0"/>
            <a:t> aktuelle antall varslingorganer i de blå cellene for de respikitve kursene.</a:t>
          </a:r>
        </a:p>
        <a:p>
          <a:endParaRPr lang="nb-NO" sz="1100" baseline="0"/>
        </a:p>
        <a:p>
          <a:r>
            <a:rPr lang="nb-NO" sz="1100" baseline="0"/>
            <a:t>2. Legg inn kabeltversnitt som skal benyttes til klokkekursen</a:t>
          </a:r>
        </a:p>
        <a:p>
          <a:endParaRPr lang="nb-NO" sz="1100" baseline="0"/>
        </a:p>
        <a:p>
          <a:r>
            <a:rPr lang="nb-NO" sz="1100" baseline="0"/>
            <a:t>3. Den maksimale kabelengden for klokkekursen vises i de gule cellene</a:t>
          </a:r>
          <a:endParaRPr lang="nb-NO" sz="1100"/>
        </a:p>
      </xdr:txBody>
    </xdr:sp>
    <xdr:clientData/>
  </xdr:twoCellAnchor>
  <xdr:twoCellAnchor editAs="oneCell">
    <xdr:from>
      <xdr:col>12</xdr:col>
      <xdr:colOff>542925</xdr:colOff>
      <xdr:row>1</xdr:row>
      <xdr:rowOff>91828</xdr:rowOff>
    </xdr:from>
    <xdr:to>
      <xdr:col>25</xdr:col>
      <xdr:colOff>314326</xdr:colOff>
      <xdr:row>4</xdr:row>
      <xdr:rowOff>340707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53825" y="291853"/>
          <a:ext cx="2876551" cy="139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9</xdr:row>
      <xdr:rowOff>47625</xdr:rowOff>
    </xdr:from>
    <xdr:to>
      <xdr:col>0</xdr:col>
      <xdr:colOff>817157</xdr:colOff>
      <xdr:row>9</xdr:row>
      <xdr:rowOff>466725</xdr:rowOff>
    </xdr:to>
    <xdr:pic>
      <xdr:nvPicPr>
        <xdr:cNvPr id="27" name="Bild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771900"/>
          <a:ext cx="540932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277054</xdr:colOff>
      <xdr:row>1</xdr:row>
      <xdr:rowOff>171451</xdr:rowOff>
    </xdr:from>
    <xdr:to>
      <xdr:col>0</xdr:col>
      <xdr:colOff>707876</xdr:colOff>
      <xdr:row>2</xdr:row>
      <xdr:rowOff>381000</xdr:rowOff>
    </xdr:to>
    <xdr:pic>
      <xdr:nvPicPr>
        <xdr:cNvPr id="31" name="Bild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54" y="370234"/>
          <a:ext cx="430822" cy="40004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</xdr:row>
      <xdr:rowOff>419100</xdr:rowOff>
    </xdr:from>
    <xdr:to>
      <xdr:col>0</xdr:col>
      <xdr:colOff>771525</xdr:colOff>
      <xdr:row>3</xdr:row>
      <xdr:rowOff>373579</xdr:rowOff>
    </xdr:to>
    <xdr:pic>
      <xdr:nvPicPr>
        <xdr:cNvPr id="33" name="Bild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09625"/>
          <a:ext cx="600075" cy="43072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3</xdr:row>
      <xdr:rowOff>419100</xdr:rowOff>
    </xdr:from>
    <xdr:to>
      <xdr:col>0</xdr:col>
      <xdr:colOff>838201</xdr:colOff>
      <xdr:row>4</xdr:row>
      <xdr:rowOff>440483</xdr:rowOff>
    </xdr:to>
    <xdr:pic>
      <xdr:nvPicPr>
        <xdr:cNvPr id="35" name="Bild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285875"/>
          <a:ext cx="609600" cy="497633"/>
        </a:xfrm>
        <a:prstGeom prst="rect">
          <a:avLst/>
        </a:prstGeom>
      </xdr:spPr>
    </xdr:pic>
    <xdr:clientData/>
  </xdr:twoCellAnchor>
  <xdr:twoCellAnchor editAs="oneCell">
    <xdr:from>
      <xdr:col>0</xdr:col>
      <xdr:colOff>238705</xdr:colOff>
      <xdr:row>5</xdr:row>
      <xdr:rowOff>38101</xdr:rowOff>
    </xdr:from>
    <xdr:to>
      <xdr:col>0</xdr:col>
      <xdr:colOff>711807</xdr:colOff>
      <xdr:row>6</xdr:row>
      <xdr:rowOff>19051</xdr:rowOff>
    </xdr:to>
    <xdr:pic>
      <xdr:nvPicPr>
        <xdr:cNvPr id="37" name="Bild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705" y="1857376"/>
          <a:ext cx="473102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252206</xdr:colOff>
      <xdr:row>6</xdr:row>
      <xdr:rowOff>17808</xdr:rowOff>
    </xdr:from>
    <xdr:to>
      <xdr:col>0</xdr:col>
      <xdr:colOff>709406</xdr:colOff>
      <xdr:row>7</xdr:row>
      <xdr:rowOff>2568</xdr:rowOff>
    </xdr:to>
    <xdr:pic>
      <xdr:nvPicPr>
        <xdr:cNvPr id="39" name="Bild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06" y="2312091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228600</xdr:rowOff>
    </xdr:from>
    <xdr:to>
      <xdr:col>1</xdr:col>
      <xdr:colOff>47625</xdr:colOff>
      <xdr:row>8</xdr:row>
      <xdr:rowOff>276225</xdr:rowOff>
    </xdr:to>
    <xdr:pic>
      <xdr:nvPicPr>
        <xdr:cNvPr id="41" name="Bild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24125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38593</xdr:colOff>
      <xdr:row>7</xdr:row>
      <xdr:rowOff>200026</xdr:rowOff>
    </xdr:from>
    <xdr:to>
      <xdr:col>1</xdr:col>
      <xdr:colOff>47626</xdr:colOff>
      <xdr:row>9</xdr:row>
      <xdr:rowOff>256760</xdr:rowOff>
    </xdr:to>
    <xdr:pic>
      <xdr:nvPicPr>
        <xdr:cNvPr id="43" name="Bild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93" y="2970559"/>
          <a:ext cx="1011229" cy="10092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2</xdr:row>
      <xdr:rowOff>95250</xdr:rowOff>
    </xdr:from>
    <xdr:to>
      <xdr:col>26</xdr:col>
      <xdr:colOff>95251</xdr:colOff>
      <xdr:row>9</xdr:row>
      <xdr:rowOff>175360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82700" y="476250"/>
          <a:ext cx="2876551" cy="1423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76200</xdr:colOff>
      <xdr:row>10</xdr:row>
      <xdr:rowOff>57150</xdr:rowOff>
    </xdr:from>
    <xdr:ext cx="3785716" cy="2524125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792200" y="1971675"/>
          <a:ext cx="3785716" cy="2524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Dette</a:t>
          </a:r>
          <a:r>
            <a:rPr lang="nb-NO" sz="1100" baseline="0"/>
            <a:t> er et programm for å beregne antall PRECAB, som er </a:t>
          </a:r>
        </a:p>
        <a:p>
          <a:r>
            <a:rPr lang="nb-NO" sz="1100" baseline="0"/>
            <a:t>et utvidelseskabinett med ekstra strømforsyning. Hver PRECAB</a:t>
          </a:r>
        </a:p>
        <a:p>
          <a:r>
            <a:rPr lang="nb-NO" sz="1100" baseline="0"/>
            <a:t>gir ytterligere 4A tilgjengelig strøm.</a:t>
          </a:r>
        </a:p>
        <a:p>
          <a:endParaRPr lang="nb-NO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Skriv inn verdiene i cellene til høyre for de elementene som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ønskelig å ha på sløyfen. Celler som ikke er relevante må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være blanke. Du må ikke skrive "0" da arket også teller antall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moduler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 er i tillegg lagt inn en beskrivesle av hva som legges inn</a:t>
          </a:r>
        </a:p>
        <a:p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hver celle. Beskrivelsen vil komme opp i eget vindu </a:t>
          </a:r>
        </a:p>
        <a:p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ved å holde musepekeren over cellen som er markert med </a:t>
          </a:r>
        </a:p>
        <a:p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rødt hjørne.</a:t>
          </a:r>
          <a:endParaRPr lang="nb-NO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76199</xdr:rowOff>
    </xdr:from>
    <xdr:to>
      <xdr:col>6</xdr:col>
      <xdr:colOff>123825</xdr:colOff>
      <xdr:row>25</xdr:row>
      <xdr:rowOff>142875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6700" y="1914524"/>
          <a:ext cx="4905375" cy="2924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Dette regnearket</a:t>
          </a:r>
          <a:r>
            <a:rPr lang="nb-NO" sz="1100" baseline="0"/>
            <a:t> vil beregne batterikapasiteten til strømforsyningen, bassert på type og antall aspirasjonsdetektoren du ønker pr strømforyning. Utregningen basserer seg på NS 3960 6.8 Kraftfosyning, som sier at b</a:t>
          </a:r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atterikapasiteten skal etter at den primære kraftforsyningen har falt bort, alltid være tilstrekkelig til a</a:t>
          </a: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drive anlegget i 24 timer og deretter i 30 minutter i alarm. </a:t>
          </a:r>
        </a:p>
        <a:p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For anlegg som er tilknyttet alarmmottak med garantert responstid ved feilsignal, skal batterikapasiteten beregnes slik at den er i stand til a drive anlegget i 12 timer og i 30 minutter i full alarm etter det.</a:t>
          </a:r>
        </a:p>
        <a:p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Valg av strømforsyning: Skriv tallet "1" i ruten under aktuell strømforsyning</a:t>
          </a: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Valg av aspirasjonsdetektor: legg inn antall enheter for aktuell detektor</a:t>
          </a:r>
        </a:p>
        <a:p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Resultat: Avgis om du har tilstrekkelig batterikapasitet.</a:t>
          </a: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Antall timer: Her vises antall timer batterien vil holde drift i i detektorene, og</a:t>
          </a: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deretter 30 minutter i alarm.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0150-4066-448B-BCBE-6EED913DD7C9}">
  <dimension ref="A1"/>
  <sheetViews>
    <sheetView showGridLines="0" zoomScaleNormal="100" workbookViewId="0">
      <selection activeCell="X16" sqref="X16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2:R22"/>
  <sheetViews>
    <sheetView showGridLines="0" tabSelected="1" workbookViewId="0">
      <selection activeCell="C6" sqref="C6"/>
    </sheetView>
  </sheetViews>
  <sheetFormatPr baseColWidth="10" defaultColWidth="11.42578125" defaultRowHeight="15" x14ac:dyDescent="0.25"/>
  <cols>
    <col min="1" max="1" width="11.42578125" style="5"/>
    <col min="2" max="2" width="28.7109375" style="5" customWidth="1"/>
    <col min="3" max="11" width="11.42578125" style="5"/>
    <col min="12" max="12" width="9.5703125" style="5" customWidth="1"/>
    <col min="13" max="13" width="33.7109375" style="5" hidden="1" customWidth="1"/>
    <col min="14" max="14" width="20.42578125" style="5" hidden="1" customWidth="1"/>
    <col min="15" max="15" width="19.7109375" style="5" hidden="1" customWidth="1"/>
    <col min="16" max="16" width="20.140625" style="5" hidden="1" customWidth="1"/>
    <col min="17" max="17" width="25.7109375" style="5" hidden="1" customWidth="1"/>
    <col min="18" max="18" width="24.85546875" style="5" hidden="1" customWidth="1"/>
    <col min="19" max="19" width="26.28515625" style="5" customWidth="1"/>
    <col min="20" max="16384" width="11.42578125" style="5"/>
  </cols>
  <sheetData>
    <row r="2" spans="2:18" ht="19.5" customHeight="1" thickBot="1" x14ac:dyDescent="0.3"/>
    <row r="3" spans="2:18" ht="30.75" customHeight="1" x14ac:dyDescent="0.25">
      <c r="C3" s="61"/>
      <c r="E3" s="68" t="str">
        <f>IF(E5&lt;0.5,"Strømtrekk OK","For høyt strømtrekk på sløyfa")</f>
        <v>Strømtrekk OK</v>
      </c>
      <c r="F3" s="69"/>
      <c r="G3" s="69"/>
      <c r="H3" s="70"/>
      <c r="M3" s="5">
        <f>IFERROR(M12*C6/0.0175/2,"")</f>
        <v>512.49199231262003</v>
      </c>
      <c r="N3" s="6" t="s">
        <v>0</v>
      </c>
      <c r="O3" s="5" t="s">
        <v>1</v>
      </c>
    </row>
    <row r="4" spans="2:18" ht="30.75" customHeight="1" thickBot="1" x14ac:dyDescent="0.3">
      <c r="B4" s="9" t="s">
        <v>151</v>
      </c>
      <c r="C4" s="60">
        <f>IF(M3&lt;1500,M3,1500)</f>
        <v>512.49199231262003</v>
      </c>
      <c r="E4" s="71"/>
      <c r="F4" s="72"/>
      <c r="G4" s="72"/>
      <c r="H4" s="73"/>
      <c r="M4" s="5">
        <f>IFERROR(M6*0.0175*C4/C6,"")</f>
        <v>4</v>
      </c>
      <c r="N4" s="8" t="s">
        <v>2</v>
      </c>
      <c r="O4" s="5" t="s">
        <v>3</v>
      </c>
    </row>
    <row r="5" spans="2:18" ht="30.75" customHeight="1" x14ac:dyDescent="0.25">
      <c r="B5" s="3" t="s">
        <v>4</v>
      </c>
      <c r="C5" s="139">
        <v>27.4</v>
      </c>
      <c r="E5" s="74">
        <f>R6</f>
        <v>0.44600000000000006</v>
      </c>
      <c r="F5" s="75"/>
      <c r="G5" s="75"/>
      <c r="H5" s="76"/>
      <c r="M5" s="5">
        <f>M4*M6</f>
        <v>1.7840000000000003</v>
      </c>
      <c r="N5" s="8" t="s">
        <v>5</v>
      </c>
      <c r="O5" s="5" t="s">
        <v>6</v>
      </c>
    </row>
    <row r="6" spans="2:18" ht="30.75" customHeight="1" thickBot="1" x14ac:dyDescent="0.3">
      <c r="B6" s="3" t="s">
        <v>7</v>
      </c>
      <c r="C6" s="1">
        <v>1</v>
      </c>
      <c r="E6" s="77"/>
      <c r="F6" s="78"/>
      <c r="G6" s="78"/>
      <c r="H6" s="79"/>
      <c r="M6" s="5">
        <f>SUM(M13:M18)</f>
        <v>0.44600000000000006</v>
      </c>
      <c r="N6" s="6" t="s">
        <v>8</v>
      </c>
      <c r="O6" s="5" t="s">
        <v>9</v>
      </c>
      <c r="P6" s="5">
        <f>SUM(M13:M16)</f>
        <v>0.42000000000000004</v>
      </c>
      <c r="Q6" s="5">
        <f>SUM(M17:M18)</f>
        <v>2.6000000000000002E-2</v>
      </c>
      <c r="R6" s="5">
        <f>P6/1+Q6</f>
        <v>0.44600000000000006</v>
      </c>
    </row>
    <row r="7" spans="2:18" ht="30.75" customHeight="1" thickBot="1" x14ac:dyDescent="0.3">
      <c r="B7" s="3" t="s">
        <v>10</v>
      </c>
      <c r="C7" s="2">
        <v>0</v>
      </c>
      <c r="E7" s="31"/>
      <c r="F7" s="31"/>
      <c r="G7" s="31"/>
      <c r="H7" s="31"/>
      <c r="M7" s="5">
        <f>IFERROR(C5-M5,"")</f>
        <v>25.616</v>
      </c>
      <c r="N7" s="8" t="s">
        <v>11</v>
      </c>
      <c r="O7" s="5" t="s">
        <v>12</v>
      </c>
    </row>
    <row r="8" spans="2:18" ht="30.75" customHeight="1" x14ac:dyDescent="0.25">
      <c r="B8" s="3" t="s">
        <v>13</v>
      </c>
      <c r="C8" s="1"/>
      <c r="E8" s="62" t="str">
        <f>IF(M7&gt;19,"Sløyfespenning ok","For lav spenning på sløyfa")</f>
        <v>Sløyfespenning ok</v>
      </c>
      <c r="F8" s="63"/>
      <c r="G8" s="63"/>
      <c r="H8" s="64"/>
      <c r="M8" s="5">
        <f>M5*M6</f>
        <v>0.79566400000000026</v>
      </c>
      <c r="N8" s="6" t="s">
        <v>14</v>
      </c>
      <c r="O8" s="5" t="s">
        <v>15</v>
      </c>
    </row>
    <row r="9" spans="2:18" ht="30.75" customHeight="1" thickBot="1" x14ac:dyDescent="0.3">
      <c r="B9" s="3" t="s">
        <v>16</v>
      </c>
      <c r="C9" s="1"/>
      <c r="E9" s="65"/>
      <c r="F9" s="66"/>
      <c r="G9" s="66"/>
      <c r="H9" s="67"/>
      <c r="M9" s="5">
        <f>M7*M6</f>
        <v>11.424736000000001</v>
      </c>
      <c r="N9" s="6" t="s">
        <v>14</v>
      </c>
      <c r="O9" s="5" t="s">
        <v>17</v>
      </c>
    </row>
    <row r="10" spans="2:18" ht="30.75" customHeight="1" x14ac:dyDescent="0.25">
      <c r="B10" s="3" t="s">
        <v>148</v>
      </c>
      <c r="C10" s="1">
        <v>20</v>
      </c>
      <c r="E10" s="80">
        <f>M7</f>
        <v>25.616</v>
      </c>
      <c r="F10" s="81"/>
      <c r="G10" s="81"/>
      <c r="H10" s="82"/>
      <c r="M10" s="5">
        <f>C5*0.04</f>
        <v>1.0959999999999999</v>
      </c>
      <c r="N10" s="6" t="s">
        <v>11</v>
      </c>
      <c r="O10" s="7" t="s">
        <v>18</v>
      </c>
    </row>
    <row r="11" spans="2:18" ht="30.75" customHeight="1" thickBot="1" x14ac:dyDescent="0.3">
      <c r="B11" s="3" t="s">
        <v>19</v>
      </c>
      <c r="C11" s="4"/>
      <c r="E11" s="83"/>
      <c r="F11" s="84"/>
      <c r="G11" s="84"/>
      <c r="H11" s="85"/>
      <c r="M11" s="5">
        <v>8</v>
      </c>
      <c r="N11" s="6" t="s">
        <v>11</v>
      </c>
      <c r="O11" s="5" t="s">
        <v>149</v>
      </c>
    </row>
    <row r="12" spans="2:18" ht="30.75" customHeight="1" thickBot="1" x14ac:dyDescent="0.3">
      <c r="B12" s="3" t="s">
        <v>152</v>
      </c>
      <c r="C12" s="1">
        <v>100</v>
      </c>
      <c r="E12" s="17"/>
      <c r="F12" s="17"/>
      <c r="G12" s="17"/>
      <c r="H12" s="17"/>
      <c r="M12" s="5">
        <f>IFERROR(M11/M6,"")</f>
        <v>17.937219730941703</v>
      </c>
      <c r="N12" s="8" t="s">
        <v>2</v>
      </c>
      <c r="O12" s="5" t="s">
        <v>150</v>
      </c>
    </row>
    <row r="13" spans="2:18" ht="30.75" customHeight="1" x14ac:dyDescent="0.25">
      <c r="B13" s="3" t="s">
        <v>21</v>
      </c>
      <c r="C13" s="4">
        <f>M4</f>
        <v>4</v>
      </c>
      <c r="E13" s="62" t="str">
        <f>IF(E5&gt;0.5,"Må alterneres","")</f>
        <v/>
      </c>
      <c r="F13" s="63"/>
      <c r="G13" s="63"/>
      <c r="H13" s="64"/>
      <c r="M13" s="5">
        <f t="shared" ref="M13:M16" si="0">C7*P13</f>
        <v>0</v>
      </c>
      <c r="N13" s="6" t="s">
        <v>8</v>
      </c>
      <c r="O13" s="5" t="s">
        <v>22</v>
      </c>
      <c r="P13" s="5">
        <v>5.0000000000000001E-3</v>
      </c>
    </row>
    <row r="14" spans="2:18" ht="30.75" customHeight="1" thickBot="1" x14ac:dyDescent="0.3">
      <c r="E14" s="65"/>
      <c r="F14" s="66"/>
      <c r="G14" s="66"/>
      <c r="H14" s="67"/>
      <c r="M14" s="5">
        <f t="shared" si="0"/>
        <v>0</v>
      </c>
      <c r="N14" s="6" t="s">
        <v>8</v>
      </c>
      <c r="O14" s="5" t="s">
        <v>23</v>
      </c>
      <c r="P14" s="5">
        <v>5.0000000000000001E-3</v>
      </c>
    </row>
    <row r="15" spans="2:18" ht="30.75" customHeight="1" x14ac:dyDescent="0.25">
      <c r="E15" s="32"/>
      <c r="F15" s="32"/>
      <c r="G15" s="32"/>
      <c r="H15" s="32"/>
      <c r="M15" s="5">
        <f t="shared" si="0"/>
        <v>0</v>
      </c>
      <c r="N15" s="6" t="s">
        <v>8</v>
      </c>
      <c r="O15" s="5" t="s">
        <v>24</v>
      </c>
      <c r="P15" s="5">
        <v>2.1000000000000001E-2</v>
      </c>
    </row>
    <row r="16" spans="2:18" ht="30.75" customHeight="1" x14ac:dyDescent="0.25">
      <c r="E16" s="18"/>
      <c r="F16" s="18"/>
      <c r="G16" s="18"/>
      <c r="H16" s="18"/>
      <c r="M16" s="5">
        <f t="shared" si="0"/>
        <v>0.42000000000000004</v>
      </c>
      <c r="N16" s="6" t="s">
        <v>8</v>
      </c>
      <c r="O16" s="5" t="s">
        <v>25</v>
      </c>
      <c r="P16" s="5">
        <v>2.1000000000000001E-2</v>
      </c>
    </row>
    <row r="17" spans="13:16" x14ac:dyDescent="0.25">
      <c r="M17" s="5">
        <f>C11*P17</f>
        <v>0</v>
      </c>
      <c r="N17" s="6" t="s">
        <v>8</v>
      </c>
      <c r="O17" s="5" t="s">
        <v>26</v>
      </c>
      <c r="P17" s="5">
        <v>6.0000000000000001E-3</v>
      </c>
    </row>
    <row r="18" spans="13:16" x14ac:dyDescent="0.25">
      <c r="M18" s="5">
        <f>C12*P18*1.3</f>
        <v>2.6000000000000002E-2</v>
      </c>
      <c r="N18" s="6" t="s">
        <v>8</v>
      </c>
      <c r="O18" s="5" t="s">
        <v>20</v>
      </c>
      <c r="P18" s="5">
        <v>2.0000000000000001E-4</v>
      </c>
    </row>
    <row r="22" spans="13:16" x14ac:dyDescent="0.25">
      <c r="N22" s="6"/>
    </row>
  </sheetData>
  <sheetProtection algorithmName="SHA-512" hashValue="LYZVKCjfZreeoF3VPK6XoxyC2/vVKetJdPWdlFG5kZjEhI+fRsTP5kj9E0TogQu/VLPfdvQr8EnYX7vmK/jSBg==" saltValue="XM+qValJsZzsZxwUp+OaDA==" spinCount="100000" sheet="1" objects="1" scenarios="1" selectLockedCells="1"/>
  <protectedRanges>
    <protectedRange sqref="C4:C12" name="Område1"/>
  </protectedRanges>
  <mergeCells count="5">
    <mergeCell ref="E13:H14"/>
    <mergeCell ref="E3:H4"/>
    <mergeCell ref="E8:H9"/>
    <mergeCell ref="E5:H6"/>
    <mergeCell ref="E10:H11"/>
  </mergeCells>
  <conditionalFormatting sqref="E3">
    <cfRule type="containsText" dxfId="7" priority="3" operator="containsText" text="høyt">
      <formula>NOT(ISERROR(SEARCH("høyt",E3)))</formula>
    </cfRule>
  </conditionalFormatting>
  <conditionalFormatting sqref="E8">
    <cfRule type="containsText" dxfId="6" priority="1" operator="containsText" text="lav">
      <formula>NOT(ISERROR(SEARCH("lav",E8)))</formula>
    </cfRule>
  </conditionalFormatting>
  <conditionalFormatting sqref="E13 E15:H15">
    <cfRule type="containsText" dxfId="5" priority="2" operator="containsText" text="Må alterneres">
      <formula>NOT(ISERROR(SEARCH("Må alterneres",E13)))</formula>
    </cfRule>
  </conditionalFormatting>
  <dataValidations disablePrompts="1" count="1">
    <dataValidation type="whole" allowBlank="1" showInputMessage="1" showErrorMessage="1" errorTitle="FEIL VERDI" error="Standard verdi er 1, ved alternering sett 2" sqref="C3" xr:uid="{E2D055DF-0435-4A8C-936C-F5D341168A3E}">
      <formula1>1</formula1>
      <formula2>2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Spinner 8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247650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Spinner 9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Spinner 10">
              <controlPr defaultSize="0" autoPict="0">
                <anchor moveWithCells="1" siz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247650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247650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Spinner 12">
              <controlPr defaultSiz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247650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Spinner 13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247650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Spinner 14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247650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E95E-C7D6-415F-9281-554856B0AF52}">
  <dimension ref="A1:V40"/>
  <sheetViews>
    <sheetView showGridLines="0" zoomScaleNormal="100" workbookViewId="0">
      <selection activeCell="W1" sqref="W1:W1048576"/>
    </sheetView>
  </sheetViews>
  <sheetFormatPr baseColWidth="10" defaultColWidth="11.42578125" defaultRowHeight="15" x14ac:dyDescent="0.25"/>
  <cols>
    <col min="1" max="1" width="15" customWidth="1"/>
    <col min="2" max="2" width="10.5703125" customWidth="1"/>
    <col min="3" max="3" width="21.42578125" customWidth="1"/>
    <col min="4" max="11" width="13.140625" customWidth="1"/>
    <col min="12" max="12" width="13" customWidth="1"/>
    <col min="13" max="13" width="12.28515625" customWidth="1"/>
    <col min="14" max="14" width="24.85546875" hidden="1" customWidth="1"/>
    <col min="15" max="15" width="24" hidden="1" customWidth="1"/>
    <col min="16" max="16" width="22" hidden="1" customWidth="1"/>
    <col min="17" max="17" width="24.42578125" hidden="1" customWidth="1"/>
    <col min="18" max="18" width="23.7109375" hidden="1" customWidth="1"/>
    <col min="19" max="19" width="16" hidden="1" customWidth="1"/>
    <col min="20" max="20" width="15.42578125" hidden="1" customWidth="1"/>
    <col min="21" max="21" width="19.42578125" hidden="1" customWidth="1"/>
    <col min="22" max="22" width="23.28515625" hidden="1" customWidth="1"/>
  </cols>
  <sheetData>
    <row r="1" spans="1:22" ht="15.75" thickBot="1" x14ac:dyDescent="0.3"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 x14ac:dyDescent="0.25">
      <c r="A2" s="55"/>
      <c r="B2" s="33" t="s">
        <v>36</v>
      </c>
      <c r="C2" s="34" t="s">
        <v>37</v>
      </c>
      <c r="D2" s="34" t="s">
        <v>38</v>
      </c>
      <c r="E2" s="34" t="s">
        <v>39</v>
      </c>
      <c r="F2" s="34" t="s">
        <v>40</v>
      </c>
      <c r="G2" s="34" t="s">
        <v>41</v>
      </c>
      <c r="H2" s="34" t="s">
        <v>42</v>
      </c>
      <c r="I2" s="34" t="s">
        <v>43</v>
      </c>
      <c r="J2" s="34" t="s">
        <v>44</v>
      </c>
      <c r="K2" s="34" t="s">
        <v>45</v>
      </c>
      <c r="L2" s="35" t="s">
        <v>46</v>
      </c>
      <c r="N2">
        <f t="shared" ref="N2:N10" si="0">D3*E3</f>
        <v>0</v>
      </c>
      <c r="O2">
        <f t="shared" ref="O2:O10" si="1">$D3*E3</f>
        <v>0</v>
      </c>
      <c r="P2">
        <f t="shared" ref="P2:P10" si="2">$D3*F3</f>
        <v>0</v>
      </c>
      <c r="Q2">
        <f t="shared" ref="Q2:Q10" si="3">$D3*G3</f>
        <v>0</v>
      </c>
      <c r="R2">
        <f t="shared" ref="R2:R10" si="4">$D3*H3</f>
        <v>0</v>
      </c>
      <c r="S2">
        <f t="shared" ref="S2:S10" si="5">$D3*I3</f>
        <v>0</v>
      </c>
      <c r="T2">
        <f t="shared" ref="T2:T10" si="6">$D3*J3</f>
        <v>0</v>
      </c>
      <c r="U2">
        <f t="shared" ref="U2:U10" si="7">$D3*K3</f>
        <v>0</v>
      </c>
      <c r="V2">
        <f t="shared" ref="V2:V10" si="8">$D3*L3</f>
        <v>0</v>
      </c>
    </row>
    <row r="3" spans="1:22" ht="37.5" customHeight="1" x14ac:dyDescent="0.25">
      <c r="B3" s="36" t="s">
        <v>47</v>
      </c>
      <c r="C3" s="37" t="s">
        <v>48</v>
      </c>
      <c r="D3" s="37">
        <v>5.0000000000000001E-3</v>
      </c>
      <c r="E3" s="38"/>
      <c r="F3" s="38"/>
      <c r="G3" s="38"/>
      <c r="H3" s="38"/>
      <c r="I3" s="38"/>
      <c r="J3" s="38"/>
      <c r="K3" s="38"/>
      <c r="L3" s="39"/>
      <c r="N3">
        <f t="shared" si="0"/>
        <v>0</v>
      </c>
      <c r="O3">
        <f t="shared" si="1"/>
        <v>0</v>
      </c>
      <c r="P3">
        <f t="shared" si="2"/>
        <v>0</v>
      </c>
      <c r="Q3">
        <f t="shared" si="3"/>
        <v>0</v>
      </c>
      <c r="R3">
        <f t="shared" si="4"/>
        <v>0</v>
      </c>
      <c r="S3">
        <f t="shared" si="5"/>
        <v>0</v>
      </c>
      <c r="T3">
        <f t="shared" si="6"/>
        <v>0</v>
      </c>
      <c r="U3">
        <f t="shared" si="7"/>
        <v>0</v>
      </c>
      <c r="V3">
        <f t="shared" si="8"/>
        <v>0</v>
      </c>
    </row>
    <row r="4" spans="1:22" ht="37.5" customHeight="1" x14ac:dyDescent="0.25">
      <c r="B4" s="36" t="s">
        <v>49</v>
      </c>
      <c r="C4" s="37" t="s">
        <v>50</v>
      </c>
      <c r="D4" s="37">
        <v>2.1000000000000001E-2</v>
      </c>
      <c r="E4" s="38"/>
      <c r="F4" s="38"/>
      <c r="G4" s="38"/>
      <c r="H4" s="38"/>
      <c r="I4" s="38"/>
      <c r="J4" s="38"/>
      <c r="K4" s="38"/>
      <c r="L4" s="39"/>
      <c r="N4">
        <f t="shared" si="0"/>
        <v>0</v>
      </c>
      <c r="O4">
        <f t="shared" si="1"/>
        <v>0</v>
      </c>
      <c r="P4">
        <f t="shared" si="2"/>
        <v>0</v>
      </c>
      <c r="Q4">
        <f t="shared" si="3"/>
        <v>0</v>
      </c>
      <c r="R4">
        <f t="shared" si="4"/>
        <v>0</v>
      </c>
      <c r="S4">
        <f t="shared" si="5"/>
        <v>0</v>
      </c>
      <c r="T4">
        <f t="shared" si="6"/>
        <v>0</v>
      </c>
      <c r="U4">
        <f t="shared" si="7"/>
        <v>0</v>
      </c>
      <c r="V4">
        <f t="shared" si="8"/>
        <v>0</v>
      </c>
    </row>
    <row r="5" spans="1:22" ht="37.5" customHeight="1" x14ac:dyDescent="0.25">
      <c r="B5" s="36" t="s">
        <v>51</v>
      </c>
      <c r="C5" s="37" t="s">
        <v>52</v>
      </c>
      <c r="D5" s="37">
        <v>5.0000000000000001E-3</v>
      </c>
      <c r="E5" s="38"/>
      <c r="F5" s="38"/>
      <c r="G5" s="38"/>
      <c r="H5" s="38"/>
      <c r="I5" s="38"/>
      <c r="J5" s="38"/>
      <c r="K5" s="38"/>
      <c r="L5" s="39"/>
      <c r="N5">
        <f t="shared" si="0"/>
        <v>0</v>
      </c>
      <c r="O5">
        <f t="shared" si="1"/>
        <v>0</v>
      </c>
      <c r="P5">
        <f t="shared" si="2"/>
        <v>0</v>
      </c>
      <c r="Q5">
        <f t="shared" si="3"/>
        <v>0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0</v>
      </c>
      <c r="V5">
        <f t="shared" si="8"/>
        <v>0</v>
      </c>
    </row>
    <row r="6" spans="1:22" ht="37.5" customHeight="1" x14ac:dyDescent="0.25">
      <c r="B6" s="36" t="s">
        <v>53</v>
      </c>
      <c r="C6" s="37" t="s">
        <v>54</v>
      </c>
      <c r="D6" s="37">
        <v>2.1000000000000001E-2</v>
      </c>
      <c r="E6" s="38"/>
      <c r="F6" s="38"/>
      <c r="G6" s="38"/>
      <c r="H6" s="38"/>
      <c r="I6" s="38"/>
      <c r="J6" s="38"/>
      <c r="K6" s="38"/>
      <c r="L6" s="39"/>
      <c r="N6">
        <f t="shared" si="0"/>
        <v>0.4</v>
      </c>
      <c r="O6">
        <f t="shared" si="1"/>
        <v>0.4</v>
      </c>
      <c r="P6">
        <f t="shared" si="2"/>
        <v>0.4</v>
      </c>
      <c r="Q6">
        <f t="shared" si="3"/>
        <v>0.4</v>
      </c>
      <c r="R6">
        <f t="shared" si="4"/>
        <v>0.4</v>
      </c>
      <c r="S6">
        <f t="shared" si="5"/>
        <v>0.4</v>
      </c>
      <c r="T6">
        <f t="shared" si="6"/>
        <v>0</v>
      </c>
      <c r="U6">
        <f t="shared" si="7"/>
        <v>0</v>
      </c>
      <c r="V6">
        <f t="shared" si="8"/>
        <v>0</v>
      </c>
    </row>
    <row r="7" spans="1:22" ht="37.5" customHeight="1" x14ac:dyDescent="0.25">
      <c r="B7" s="36" t="s">
        <v>55</v>
      </c>
      <c r="C7" s="37" t="s">
        <v>56</v>
      </c>
      <c r="D7" s="37">
        <v>0.02</v>
      </c>
      <c r="E7" s="38">
        <v>20</v>
      </c>
      <c r="F7" s="38">
        <v>20</v>
      </c>
      <c r="G7" s="38">
        <v>20</v>
      </c>
      <c r="H7" s="38">
        <v>20</v>
      </c>
      <c r="I7" s="38">
        <v>20</v>
      </c>
      <c r="J7" s="38"/>
      <c r="K7" s="38"/>
      <c r="L7" s="39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  <c r="U7">
        <f t="shared" si="7"/>
        <v>0</v>
      </c>
      <c r="V7">
        <f t="shared" si="8"/>
        <v>0</v>
      </c>
    </row>
    <row r="8" spans="1:22" ht="37.5" customHeight="1" x14ac:dyDescent="0.25">
      <c r="B8" s="36" t="s">
        <v>57</v>
      </c>
      <c r="C8" s="37" t="s">
        <v>58</v>
      </c>
      <c r="D8" s="37">
        <v>2.1000000000000001E-2</v>
      </c>
      <c r="E8" s="38"/>
      <c r="F8" s="38"/>
      <c r="G8" s="38"/>
      <c r="H8" s="38"/>
      <c r="I8" s="38"/>
      <c r="J8" s="38"/>
      <c r="K8" s="38"/>
      <c r="L8" s="39"/>
      <c r="N8">
        <f t="shared" si="0"/>
        <v>0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</row>
    <row r="9" spans="1:22" ht="37.5" customHeight="1" x14ac:dyDescent="0.25">
      <c r="B9" s="36" t="s">
        <v>59</v>
      </c>
      <c r="C9" s="37" t="s">
        <v>60</v>
      </c>
      <c r="D9" s="37">
        <v>0.05</v>
      </c>
      <c r="E9" s="38"/>
      <c r="F9" s="38"/>
      <c r="G9" s="38"/>
      <c r="H9" s="38"/>
      <c r="I9" s="38"/>
      <c r="J9" s="38"/>
      <c r="K9" s="38"/>
      <c r="L9" s="39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</row>
    <row r="10" spans="1:22" ht="37.5" customHeight="1" thickBot="1" x14ac:dyDescent="0.3">
      <c r="B10" s="41" t="s">
        <v>61</v>
      </c>
      <c r="C10" s="42" t="s">
        <v>62</v>
      </c>
      <c r="D10" s="42">
        <v>3.6999999999999998E-2</v>
      </c>
      <c r="E10" s="43"/>
      <c r="F10" s="43"/>
      <c r="G10" s="43"/>
      <c r="H10" s="43"/>
      <c r="I10" s="43"/>
      <c r="J10" s="43"/>
      <c r="K10" s="43"/>
      <c r="L10" s="44"/>
      <c r="N10">
        <f t="shared" si="0"/>
        <v>0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</row>
    <row r="11" spans="1:22" x14ac:dyDescent="0.25">
      <c r="E11" s="10"/>
      <c r="F11" s="10"/>
      <c r="G11" s="10"/>
      <c r="H11" s="10"/>
      <c r="I11" s="10"/>
      <c r="J11" s="10"/>
      <c r="K11" s="10"/>
      <c r="L11" s="10"/>
      <c r="N11">
        <f t="shared" ref="N11:N14" si="9">D12*E12</f>
        <v>0</v>
      </c>
      <c r="O11">
        <f t="shared" ref="O11:O14" si="10">$D12*E12</f>
        <v>0</v>
      </c>
      <c r="P11">
        <f t="shared" ref="P11:V14" si="11">$D12*F12</f>
        <v>0</v>
      </c>
      <c r="Q11">
        <f t="shared" si="11"/>
        <v>0</v>
      </c>
      <c r="R11">
        <f t="shared" si="11"/>
        <v>0</v>
      </c>
      <c r="S11">
        <f t="shared" si="11"/>
        <v>0</v>
      </c>
      <c r="T11">
        <f t="shared" si="11"/>
        <v>0</v>
      </c>
      <c r="U11">
        <f t="shared" si="11"/>
        <v>0</v>
      </c>
      <c r="V11">
        <f t="shared" si="11"/>
        <v>0</v>
      </c>
    </row>
    <row r="12" spans="1:22" x14ac:dyDescent="0.25">
      <c r="E12" s="10"/>
      <c r="F12" s="10"/>
      <c r="G12" s="10"/>
      <c r="H12" s="10"/>
      <c r="I12" s="10"/>
      <c r="J12" s="10"/>
      <c r="K12" s="10"/>
      <c r="L12" s="10"/>
      <c r="N12">
        <f t="shared" si="9"/>
        <v>0</v>
      </c>
      <c r="O12">
        <f t="shared" si="10"/>
        <v>0</v>
      </c>
      <c r="P12">
        <f t="shared" si="11"/>
        <v>0</v>
      </c>
      <c r="Q12">
        <f t="shared" si="11"/>
        <v>0</v>
      </c>
      <c r="R12">
        <f t="shared" si="11"/>
        <v>0</v>
      </c>
      <c r="S12">
        <f t="shared" si="11"/>
        <v>0</v>
      </c>
      <c r="T12">
        <f t="shared" si="11"/>
        <v>0</v>
      </c>
      <c r="U12">
        <f t="shared" si="11"/>
        <v>0</v>
      </c>
      <c r="V12">
        <f t="shared" si="11"/>
        <v>0</v>
      </c>
    </row>
    <row r="13" spans="1:22" x14ac:dyDescent="0.25">
      <c r="E13" s="10"/>
      <c r="F13" s="10"/>
      <c r="G13" s="10"/>
      <c r="H13" s="10"/>
      <c r="I13" s="10"/>
      <c r="J13" s="10"/>
      <c r="K13" s="10"/>
      <c r="L13" s="10"/>
      <c r="N13">
        <f t="shared" si="9"/>
        <v>0</v>
      </c>
      <c r="O13">
        <f t="shared" si="10"/>
        <v>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</row>
    <row r="14" spans="1:22" x14ac:dyDescent="0.25">
      <c r="E14" s="10"/>
      <c r="F14" s="10"/>
      <c r="G14" s="10"/>
      <c r="H14" s="10"/>
      <c r="I14" s="10"/>
      <c r="J14" s="10"/>
      <c r="K14" s="10"/>
      <c r="L14" s="10"/>
      <c r="N14">
        <f t="shared" si="9"/>
        <v>0</v>
      </c>
      <c r="O14">
        <f t="shared" si="10"/>
        <v>0</v>
      </c>
      <c r="P14">
        <f t="shared" si="11"/>
        <v>0</v>
      </c>
      <c r="Q14">
        <f t="shared" si="11"/>
        <v>0</v>
      </c>
      <c r="R14">
        <f t="shared" si="11"/>
        <v>0</v>
      </c>
      <c r="S14">
        <f t="shared" si="11"/>
        <v>0</v>
      </c>
      <c r="T14">
        <f t="shared" si="11"/>
        <v>0</v>
      </c>
      <c r="U14">
        <f t="shared" si="11"/>
        <v>0</v>
      </c>
      <c r="V14">
        <f t="shared" si="11"/>
        <v>0</v>
      </c>
    </row>
    <row r="15" spans="1:22" x14ac:dyDescent="0.25">
      <c r="E15" s="10"/>
      <c r="F15" s="10"/>
      <c r="G15" s="10"/>
      <c r="H15" s="10"/>
      <c r="I15" s="10"/>
      <c r="J15" s="10"/>
      <c r="K15" s="10"/>
      <c r="L15" s="10"/>
    </row>
    <row r="17" spans="2:21" ht="15.75" thickBot="1" x14ac:dyDescent="0.3"/>
    <row r="18" spans="2:21" x14ac:dyDescent="0.25">
      <c r="B18" s="40"/>
      <c r="C18" s="34" t="s">
        <v>63</v>
      </c>
      <c r="D18" s="89" t="s">
        <v>64</v>
      </c>
      <c r="E18" s="89"/>
      <c r="F18" s="34" t="s">
        <v>63</v>
      </c>
      <c r="G18" s="34" t="s">
        <v>65</v>
      </c>
      <c r="H18" s="35" t="s">
        <v>66</v>
      </c>
      <c r="J18" s="55"/>
      <c r="K18" s="45" t="s">
        <v>67</v>
      </c>
    </row>
    <row r="19" spans="2:21" ht="15.75" thickBot="1" x14ac:dyDescent="0.3">
      <c r="B19" s="36" t="s">
        <v>28</v>
      </c>
      <c r="C19" s="37">
        <f>SUM(O2:O14)</f>
        <v>0.4</v>
      </c>
      <c r="D19" s="86">
        <f>O33</f>
        <v>571.42857142857133</v>
      </c>
      <c r="E19" s="86"/>
      <c r="F19" s="46">
        <f>P20</f>
        <v>0.4</v>
      </c>
      <c r="G19" s="47">
        <f t="shared" ref="G19:G26" si="12">IFERROR(0.0175*2*D19/K$19,"")</f>
        <v>20</v>
      </c>
      <c r="H19" s="48">
        <f>IFERROR(F19*G19,"")</f>
        <v>8</v>
      </c>
      <c r="K19" s="49">
        <v>1</v>
      </c>
      <c r="O19" t="s">
        <v>4</v>
      </c>
      <c r="P19" t="s">
        <v>68</v>
      </c>
      <c r="Q19" s="87" t="s">
        <v>69</v>
      </c>
      <c r="R19" s="87"/>
      <c r="S19" t="s">
        <v>70</v>
      </c>
      <c r="T19" t="s">
        <v>71</v>
      </c>
      <c r="U19" t="s">
        <v>72</v>
      </c>
    </row>
    <row r="20" spans="2:21" ht="14.25" customHeight="1" x14ac:dyDescent="0.25">
      <c r="B20" s="36" t="s">
        <v>29</v>
      </c>
      <c r="C20" s="37">
        <f>SUM(P2:P14)</f>
        <v>0.4</v>
      </c>
      <c r="D20" s="86">
        <f t="shared" ref="D20:D26" si="13">O34</f>
        <v>571.42857142857133</v>
      </c>
      <c r="E20" s="86"/>
      <c r="F20" s="46">
        <f t="shared" ref="F20:F26" si="14">P21</f>
        <v>0.4</v>
      </c>
      <c r="G20" s="47">
        <f t="shared" si="12"/>
        <v>20</v>
      </c>
      <c r="H20" s="48">
        <f t="shared" ref="H20:H26" si="15">IFERROR(F20*G20,"")</f>
        <v>8</v>
      </c>
      <c r="N20" t="s">
        <v>28</v>
      </c>
      <c r="O20">
        <v>27.4</v>
      </c>
      <c r="P20">
        <f>C19</f>
        <v>0.4</v>
      </c>
      <c r="Q20" s="87">
        <v>8</v>
      </c>
      <c r="R20" s="87"/>
      <c r="S20">
        <f>IFERROR(Q20/P20,"")</f>
        <v>20</v>
      </c>
      <c r="T20" s="50">
        <f>27.4/G19</f>
        <v>1.3699999999999999</v>
      </c>
      <c r="U20" s="50">
        <f>18/G19</f>
        <v>0.9</v>
      </c>
    </row>
    <row r="21" spans="2:21" ht="14.25" customHeight="1" x14ac:dyDescent="0.25">
      <c r="B21" s="36" t="s">
        <v>30</v>
      </c>
      <c r="C21" s="37">
        <f>SUM(Q2:Q14)</f>
        <v>0.4</v>
      </c>
      <c r="D21" s="86">
        <f t="shared" si="13"/>
        <v>571.42857142857133</v>
      </c>
      <c r="E21" s="86"/>
      <c r="F21" s="46">
        <f t="shared" si="14"/>
        <v>0.4</v>
      </c>
      <c r="G21" s="47">
        <f t="shared" si="12"/>
        <v>20</v>
      </c>
      <c r="H21" s="48">
        <f t="shared" si="15"/>
        <v>8</v>
      </c>
      <c r="N21" t="s">
        <v>29</v>
      </c>
      <c r="O21">
        <v>27.4</v>
      </c>
      <c r="P21">
        <f t="shared" ref="P21:P27" si="16">C20</f>
        <v>0.4</v>
      </c>
      <c r="Q21" s="87">
        <v>8</v>
      </c>
      <c r="R21" s="87"/>
      <c r="S21">
        <f t="shared" ref="S21:S27" si="17">IFERROR(Q21/P21,"")</f>
        <v>20</v>
      </c>
      <c r="T21" s="50">
        <f t="shared" ref="T21:T27" si="18">27.4/G20</f>
        <v>1.3699999999999999</v>
      </c>
      <c r="U21" s="50">
        <f t="shared" ref="U21:U27" si="19">18/G20</f>
        <v>0.9</v>
      </c>
    </row>
    <row r="22" spans="2:21" x14ac:dyDescent="0.25">
      <c r="B22" s="36" t="s">
        <v>31</v>
      </c>
      <c r="C22" s="37">
        <f>SUM(R2:R14)</f>
        <v>0.4</v>
      </c>
      <c r="D22" s="86">
        <f t="shared" si="13"/>
        <v>571.42857142857133</v>
      </c>
      <c r="E22" s="86"/>
      <c r="F22" s="46">
        <f t="shared" si="14"/>
        <v>0.4</v>
      </c>
      <c r="G22" s="47">
        <f t="shared" si="12"/>
        <v>20</v>
      </c>
      <c r="H22" s="48">
        <f t="shared" si="15"/>
        <v>8</v>
      </c>
      <c r="N22" t="s">
        <v>30</v>
      </c>
      <c r="O22">
        <v>27.4</v>
      </c>
      <c r="P22">
        <f t="shared" si="16"/>
        <v>0.4</v>
      </c>
      <c r="Q22" s="87">
        <v>8</v>
      </c>
      <c r="R22" s="87"/>
      <c r="S22">
        <f t="shared" si="17"/>
        <v>20</v>
      </c>
      <c r="T22" s="50">
        <f t="shared" si="18"/>
        <v>1.3699999999999999</v>
      </c>
      <c r="U22" s="50">
        <f t="shared" si="19"/>
        <v>0.9</v>
      </c>
    </row>
    <row r="23" spans="2:21" ht="14.25" customHeight="1" x14ac:dyDescent="0.25">
      <c r="B23" s="36" t="s">
        <v>32</v>
      </c>
      <c r="C23" s="37">
        <f>SUM(S2:S14)</f>
        <v>0.4</v>
      </c>
      <c r="D23" s="86">
        <f t="shared" si="13"/>
        <v>571.42857142857133</v>
      </c>
      <c r="E23" s="86"/>
      <c r="F23" s="46">
        <f t="shared" si="14"/>
        <v>0.4</v>
      </c>
      <c r="G23" s="47">
        <f t="shared" si="12"/>
        <v>20</v>
      </c>
      <c r="H23" s="48">
        <f t="shared" si="15"/>
        <v>8</v>
      </c>
      <c r="N23" t="s">
        <v>31</v>
      </c>
      <c r="O23">
        <v>27.4</v>
      </c>
      <c r="P23">
        <f t="shared" si="16"/>
        <v>0.4</v>
      </c>
      <c r="Q23" s="87">
        <v>8</v>
      </c>
      <c r="R23" s="87"/>
      <c r="S23">
        <f t="shared" si="17"/>
        <v>20</v>
      </c>
      <c r="T23" s="50">
        <f t="shared" si="18"/>
        <v>1.3699999999999999</v>
      </c>
      <c r="U23" s="50">
        <f t="shared" si="19"/>
        <v>0.9</v>
      </c>
    </row>
    <row r="24" spans="2:21" ht="14.25" customHeight="1" x14ac:dyDescent="0.25">
      <c r="B24" s="36" t="s">
        <v>33</v>
      </c>
      <c r="C24" s="37">
        <f>SUM(T2:T14)</f>
        <v>0</v>
      </c>
      <c r="D24" s="86" t="str">
        <f t="shared" si="13"/>
        <v/>
      </c>
      <c r="E24" s="86"/>
      <c r="F24" s="46">
        <f t="shared" si="14"/>
        <v>0</v>
      </c>
      <c r="G24" s="47" t="str">
        <f t="shared" si="12"/>
        <v/>
      </c>
      <c r="H24" s="48" t="str">
        <f t="shared" si="15"/>
        <v/>
      </c>
      <c r="N24" t="s">
        <v>32</v>
      </c>
      <c r="O24">
        <v>27.4</v>
      </c>
      <c r="P24">
        <f t="shared" si="16"/>
        <v>0.4</v>
      </c>
      <c r="Q24" s="87">
        <v>8</v>
      </c>
      <c r="R24" s="87"/>
      <c r="S24">
        <f t="shared" si="17"/>
        <v>20</v>
      </c>
      <c r="T24" s="50">
        <f t="shared" si="18"/>
        <v>1.3699999999999999</v>
      </c>
      <c r="U24" s="50">
        <f t="shared" si="19"/>
        <v>0.9</v>
      </c>
    </row>
    <row r="25" spans="2:21" ht="14.25" customHeight="1" x14ac:dyDescent="0.25">
      <c r="B25" s="36" t="s">
        <v>34</v>
      </c>
      <c r="C25" s="37">
        <f>SUM(U2:U14)</f>
        <v>0</v>
      </c>
      <c r="D25" s="86" t="str">
        <f t="shared" si="13"/>
        <v/>
      </c>
      <c r="E25" s="86"/>
      <c r="F25" s="46">
        <f t="shared" si="14"/>
        <v>0</v>
      </c>
      <c r="G25" s="47" t="str">
        <f t="shared" si="12"/>
        <v/>
      </c>
      <c r="H25" s="48" t="str">
        <f t="shared" si="15"/>
        <v/>
      </c>
      <c r="N25" t="s">
        <v>33</v>
      </c>
      <c r="O25">
        <v>27.4</v>
      </c>
      <c r="P25">
        <f t="shared" si="16"/>
        <v>0</v>
      </c>
      <c r="Q25" s="87">
        <v>8</v>
      </c>
      <c r="R25" s="87"/>
      <c r="S25" t="str">
        <f t="shared" si="17"/>
        <v/>
      </c>
      <c r="T25" s="50" t="e">
        <f t="shared" si="18"/>
        <v>#VALUE!</v>
      </c>
      <c r="U25" s="50" t="e">
        <f t="shared" si="19"/>
        <v>#VALUE!</v>
      </c>
    </row>
    <row r="26" spans="2:21" ht="15.75" thickBot="1" x14ac:dyDescent="0.3">
      <c r="B26" s="41" t="s">
        <v>35</v>
      </c>
      <c r="C26" s="42">
        <f>SUM(V2:V14)</f>
        <v>0</v>
      </c>
      <c r="D26" s="88" t="str">
        <f t="shared" si="13"/>
        <v/>
      </c>
      <c r="E26" s="88"/>
      <c r="F26" s="51">
        <f t="shared" si="14"/>
        <v>0</v>
      </c>
      <c r="G26" s="52" t="str">
        <f t="shared" si="12"/>
        <v/>
      </c>
      <c r="H26" s="53" t="str">
        <f t="shared" si="15"/>
        <v/>
      </c>
      <c r="N26" t="s">
        <v>34</v>
      </c>
      <c r="O26">
        <v>27.4</v>
      </c>
      <c r="P26">
        <f t="shared" si="16"/>
        <v>0</v>
      </c>
      <c r="Q26" s="87">
        <v>8</v>
      </c>
      <c r="R26" s="87"/>
      <c r="S26" t="str">
        <f t="shared" si="17"/>
        <v/>
      </c>
      <c r="T26" s="50" t="e">
        <f t="shared" si="18"/>
        <v>#VALUE!</v>
      </c>
      <c r="U26" s="50" t="e">
        <f t="shared" si="19"/>
        <v>#VALUE!</v>
      </c>
    </row>
    <row r="27" spans="2:21" x14ac:dyDescent="0.25">
      <c r="N27" t="s">
        <v>35</v>
      </c>
      <c r="O27">
        <v>27.4</v>
      </c>
      <c r="P27">
        <f t="shared" si="16"/>
        <v>0</v>
      </c>
      <c r="Q27" s="87">
        <v>8</v>
      </c>
      <c r="R27" s="87"/>
      <c r="S27" t="str">
        <f t="shared" si="17"/>
        <v/>
      </c>
      <c r="T27" s="50" t="e">
        <f t="shared" si="18"/>
        <v>#VALUE!</v>
      </c>
      <c r="U27" s="50" t="e">
        <f t="shared" si="19"/>
        <v>#VALUE!</v>
      </c>
    </row>
    <row r="29" spans="2:21" x14ac:dyDescent="0.25">
      <c r="H29" s="54"/>
    </row>
    <row r="30" spans="2:21" x14ac:dyDescent="0.25">
      <c r="N30" t="s">
        <v>27</v>
      </c>
      <c r="O30">
        <f>SUM(C19:C26)</f>
        <v>2</v>
      </c>
    </row>
    <row r="32" spans="2:21" x14ac:dyDescent="0.25">
      <c r="O32" t="s">
        <v>73</v>
      </c>
    </row>
    <row r="33" spans="14:15" x14ac:dyDescent="0.25">
      <c r="N33" t="s">
        <v>74</v>
      </c>
      <c r="O33">
        <f t="shared" ref="O33:O40" si="20">IFERROR(S20*$K$19/0.0175/2,"")</f>
        <v>571.42857142857133</v>
      </c>
    </row>
    <row r="34" spans="14:15" x14ac:dyDescent="0.25">
      <c r="N34" t="s">
        <v>75</v>
      </c>
      <c r="O34">
        <f t="shared" si="20"/>
        <v>571.42857142857133</v>
      </c>
    </row>
    <row r="35" spans="14:15" x14ac:dyDescent="0.25">
      <c r="N35" t="s">
        <v>76</v>
      </c>
      <c r="O35">
        <f t="shared" si="20"/>
        <v>571.42857142857133</v>
      </c>
    </row>
    <row r="36" spans="14:15" x14ac:dyDescent="0.25">
      <c r="N36" t="s">
        <v>77</v>
      </c>
      <c r="O36">
        <f t="shared" si="20"/>
        <v>571.42857142857133</v>
      </c>
    </row>
    <row r="37" spans="14:15" x14ac:dyDescent="0.25">
      <c r="N37" t="s">
        <v>78</v>
      </c>
      <c r="O37">
        <f t="shared" si="20"/>
        <v>571.42857142857133</v>
      </c>
    </row>
    <row r="38" spans="14:15" x14ac:dyDescent="0.25">
      <c r="N38" t="s">
        <v>79</v>
      </c>
      <c r="O38" t="str">
        <f t="shared" si="20"/>
        <v/>
      </c>
    </row>
    <row r="39" spans="14:15" x14ac:dyDescent="0.25">
      <c r="N39" t="s">
        <v>80</v>
      </c>
      <c r="O39" t="str">
        <f t="shared" si="20"/>
        <v/>
      </c>
    </row>
    <row r="40" spans="14:15" x14ac:dyDescent="0.25">
      <c r="N40" t="s">
        <v>81</v>
      </c>
      <c r="O40" t="str">
        <f t="shared" si="20"/>
        <v/>
      </c>
    </row>
  </sheetData>
  <sheetProtection algorithmName="SHA-512" hashValue="kw4tB9yKL0yHCZYPB+IT2vKd6cmppLETrEcx8MhT7NnS5M2s5VagS+7b/di5i1QEg7NprwhoMrHkFtPdn9Usag==" saltValue="7XakaR/3+wEANAnZ7kcysA==" spinCount="100000" sheet="1" objects="1" scenarios="1"/>
  <mergeCells count="18">
    <mergeCell ref="D21:E21"/>
    <mergeCell ref="Q21:R21"/>
    <mergeCell ref="D18:E18"/>
    <mergeCell ref="D19:E19"/>
    <mergeCell ref="Q19:R19"/>
    <mergeCell ref="D20:E20"/>
    <mergeCell ref="Q20:R20"/>
    <mergeCell ref="D22:E22"/>
    <mergeCell ref="Q22:R22"/>
    <mergeCell ref="D23:E23"/>
    <mergeCell ref="Q23:R23"/>
    <mergeCell ref="D24:E24"/>
    <mergeCell ref="Q24:R24"/>
    <mergeCell ref="D25:E25"/>
    <mergeCell ref="Q25:R25"/>
    <mergeCell ref="D26:E26"/>
    <mergeCell ref="Q26:R26"/>
    <mergeCell ref="Q27:R27"/>
  </mergeCells>
  <dataValidations count="3">
    <dataValidation type="whole" allowBlank="1" showInputMessage="1" showErrorMessage="1" sqref="E3:L10" xr:uid="{D1E3980C-3455-45DE-9866-D0F596AAB8E4}">
      <formula1>1</formula1>
      <formula2>20</formula2>
    </dataValidation>
    <dataValidation type="decimal" errorStyle="information" allowBlank="1" showInputMessage="1" showErrorMessage="1" errorTitle="Feil Tversnitt" error="Velg tversnitt 1-2,5mm2" sqref="K19" xr:uid="{89B1341A-409C-45C9-8A04-77E7A91E82A0}">
      <formula1>1</formula1>
      <formula2>2.5</formula2>
    </dataValidation>
    <dataValidation type="whole" allowBlank="1" showInputMessage="1" showErrorMessage="1" errorTitle="For høyt antall" error="Maksimalt antall varslingsorganer pr kurs er 20 stk, NS3960" sqref="D31" xr:uid="{0F73B35A-ABE1-4D5C-B0C9-F78AABBE6CFF}">
      <formula1>1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DF4B-42E1-4ED6-8498-7312BF3EFB7B}">
  <dimension ref="A3:X48"/>
  <sheetViews>
    <sheetView showGridLines="0" workbookViewId="0">
      <selection activeCell="I7" sqref="I7"/>
    </sheetView>
  </sheetViews>
  <sheetFormatPr baseColWidth="10" defaultColWidth="11.42578125" defaultRowHeight="15" x14ac:dyDescent="0.25"/>
  <cols>
    <col min="3" max="3" width="17.85546875" customWidth="1"/>
    <col min="10" max="10" width="14.28515625" customWidth="1"/>
    <col min="12" max="12" width="13.5703125" customWidth="1"/>
    <col min="19" max="19" width="11.42578125" customWidth="1"/>
    <col min="20" max="20" width="10.85546875" hidden="1" customWidth="1"/>
    <col min="21" max="21" width="13.28515625" hidden="1" customWidth="1"/>
    <col min="22" max="22" width="12.7109375" hidden="1" customWidth="1"/>
    <col min="23" max="23" width="19.28515625" hidden="1" customWidth="1"/>
    <col min="24" max="24" width="0" hidden="1" customWidth="1"/>
  </cols>
  <sheetData>
    <row r="3" spans="1:17" ht="15.75" thickBot="1" x14ac:dyDescent="0.3"/>
    <row r="4" spans="1:17" x14ac:dyDescent="0.25">
      <c r="A4" s="27" t="s">
        <v>36</v>
      </c>
      <c r="B4" s="28"/>
      <c r="C4" s="29" t="s">
        <v>82</v>
      </c>
      <c r="D4" s="30" t="s">
        <v>36</v>
      </c>
      <c r="E4" s="28"/>
      <c r="F4" s="28" t="s">
        <v>83</v>
      </c>
      <c r="G4" s="28" t="s">
        <v>36</v>
      </c>
      <c r="H4" s="28"/>
      <c r="I4" s="28" t="s">
        <v>83</v>
      </c>
      <c r="J4" s="28"/>
      <c r="K4" s="28" t="s">
        <v>83</v>
      </c>
      <c r="L4" s="28"/>
      <c r="M4" s="28" t="s">
        <v>83</v>
      </c>
      <c r="N4" s="28"/>
      <c r="O4" s="28" t="s">
        <v>83</v>
      </c>
      <c r="P4" s="28"/>
      <c r="Q4" s="29" t="s">
        <v>83</v>
      </c>
    </row>
    <row r="5" spans="1:17" ht="15" customHeight="1" x14ac:dyDescent="0.25">
      <c r="A5" s="123" t="s">
        <v>84</v>
      </c>
      <c r="B5" s="19" t="s">
        <v>85</v>
      </c>
      <c r="C5" s="22">
        <v>3.7999999999999999E-2</v>
      </c>
      <c r="D5" s="125" t="s">
        <v>86</v>
      </c>
      <c r="E5" s="11" t="s">
        <v>87</v>
      </c>
      <c r="F5" s="15"/>
      <c r="G5" s="102" t="s">
        <v>88</v>
      </c>
      <c r="H5" s="11" t="s">
        <v>87</v>
      </c>
      <c r="I5" s="15">
        <v>20</v>
      </c>
      <c r="J5" s="128" t="s">
        <v>89</v>
      </c>
      <c r="K5" s="99"/>
      <c r="L5" s="102" t="s">
        <v>90</v>
      </c>
      <c r="M5" s="99"/>
      <c r="N5" s="102" t="s">
        <v>91</v>
      </c>
      <c r="O5" s="99"/>
      <c r="P5" s="102" t="s">
        <v>92</v>
      </c>
      <c r="Q5" s="96"/>
    </row>
    <row r="6" spans="1:17" ht="15" customHeight="1" x14ac:dyDescent="0.25">
      <c r="A6" s="123"/>
      <c r="B6" s="20" t="s">
        <v>93</v>
      </c>
      <c r="C6" s="22">
        <v>4.0000000000000001E-3</v>
      </c>
      <c r="D6" s="126"/>
      <c r="E6" s="11" t="s">
        <v>94</v>
      </c>
      <c r="F6" s="15"/>
      <c r="G6" s="103"/>
      <c r="H6" s="11" t="s">
        <v>94</v>
      </c>
      <c r="I6" s="15">
        <v>20</v>
      </c>
      <c r="J6" s="129"/>
      <c r="K6" s="100"/>
      <c r="L6" s="103"/>
      <c r="M6" s="100"/>
      <c r="N6" s="103"/>
      <c r="O6" s="100"/>
      <c r="P6" s="103"/>
      <c r="Q6" s="97"/>
    </row>
    <row r="7" spans="1:17" ht="15" customHeight="1" x14ac:dyDescent="0.25">
      <c r="A7" s="123"/>
      <c r="B7" s="19" t="s">
        <v>95</v>
      </c>
      <c r="C7" s="22">
        <v>2.5999999999999999E-2</v>
      </c>
      <c r="D7" s="126"/>
      <c r="E7" s="11" t="s">
        <v>96</v>
      </c>
      <c r="F7" s="15"/>
      <c r="G7" s="103"/>
      <c r="H7" s="11" t="s">
        <v>96</v>
      </c>
      <c r="I7" s="15">
        <v>1</v>
      </c>
      <c r="J7" s="129"/>
      <c r="K7" s="100"/>
      <c r="L7" s="103"/>
      <c r="M7" s="100"/>
      <c r="N7" s="103"/>
      <c r="O7" s="100"/>
      <c r="P7" s="103"/>
      <c r="Q7" s="97"/>
    </row>
    <row r="8" spans="1:17" ht="15" customHeight="1" x14ac:dyDescent="0.25">
      <c r="A8" s="123"/>
      <c r="B8" s="19" t="s">
        <v>97</v>
      </c>
      <c r="C8" s="22">
        <v>1.9E-2</v>
      </c>
      <c r="D8" s="126"/>
      <c r="E8" s="11" t="s">
        <v>98</v>
      </c>
      <c r="F8" s="15"/>
      <c r="G8" s="103"/>
      <c r="H8" s="11" t="s">
        <v>98</v>
      </c>
      <c r="I8" s="15"/>
      <c r="J8" s="129"/>
      <c r="K8" s="100"/>
      <c r="L8" s="103"/>
      <c r="M8" s="100"/>
      <c r="N8" s="103"/>
      <c r="O8" s="100"/>
      <c r="P8" s="103"/>
      <c r="Q8" s="97"/>
    </row>
    <row r="9" spans="1:17" ht="15" customHeight="1" x14ac:dyDescent="0.25">
      <c r="A9" s="123"/>
      <c r="B9" s="19" t="s">
        <v>99</v>
      </c>
      <c r="C9" s="22">
        <v>7.0000000000000007E-2</v>
      </c>
      <c r="D9" s="126"/>
      <c r="E9" s="11" t="s">
        <v>100</v>
      </c>
      <c r="F9" s="15"/>
      <c r="G9" s="103"/>
      <c r="H9" s="11" t="s">
        <v>100</v>
      </c>
      <c r="I9" s="15"/>
      <c r="J9" s="129"/>
      <c r="K9" s="100"/>
      <c r="L9" s="103"/>
      <c r="M9" s="100"/>
      <c r="N9" s="103"/>
      <c r="O9" s="100"/>
      <c r="P9" s="103"/>
      <c r="Q9" s="97"/>
    </row>
    <row r="10" spans="1:17" ht="15" customHeight="1" x14ac:dyDescent="0.25">
      <c r="A10" s="123"/>
      <c r="B10" s="19" t="s">
        <v>101</v>
      </c>
      <c r="C10" s="22">
        <v>1.9E-2</v>
      </c>
      <c r="D10" s="126"/>
      <c r="E10" s="11" t="s">
        <v>102</v>
      </c>
      <c r="F10" s="15"/>
      <c r="G10" s="103"/>
      <c r="H10" s="11" t="s">
        <v>102</v>
      </c>
      <c r="I10" s="15"/>
      <c r="J10" s="129"/>
      <c r="K10" s="100"/>
      <c r="L10" s="103"/>
      <c r="M10" s="100"/>
      <c r="N10" s="103"/>
      <c r="O10" s="100"/>
      <c r="P10" s="103"/>
      <c r="Q10" s="97"/>
    </row>
    <row r="11" spans="1:17" ht="15" customHeight="1" x14ac:dyDescent="0.25">
      <c r="A11" s="123"/>
      <c r="B11" s="19" t="s">
        <v>103</v>
      </c>
      <c r="C11" s="22">
        <v>1.9E-2</v>
      </c>
      <c r="D11" s="126"/>
      <c r="E11" s="11" t="s">
        <v>104</v>
      </c>
      <c r="F11" s="15"/>
      <c r="G11" s="103"/>
      <c r="H11" s="11" t="s">
        <v>104</v>
      </c>
      <c r="I11" s="15"/>
      <c r="J11" s="129"/>
      <c r="K11" s="100"/>
      <c r="L11" s="103"/>
      <c r="M11" s="100"/>
      <c r="N11" s="103"/>
      <c r="O11" s="100"/>
      <c r="P11" s="103"/>
      <c r="Q11" s="97"/>
    </row>
    <row r="12" spans="1:17" ht="15" customHeight="1" x14ac:dyDescent="0.25">
      <c r="A12" s="123"/>
      <c r="B12" s="19" t="s">
        <v>105</v>
      </c>
      <c r="C12" s="22">
        <v>1.9E-2</v>
      </c>
      <c r="D12" s="126"/>
      <c r="E12" s="11" t="s">
        <v>106</v>
      </c>
      <c r="F12" s="15"/>
      <c r="G12" s="103"/>
      <c r="H12" s="11" t="s">
        <v>106</v>
      </c>
      <c r="I12" s="15"/>
      <c r="J12" s="129"/>
      <c r="K12" s="100"/>
      <c r="L12" s="103"/>
      <c r="M12" s="100"/>
      <c r="N12" s="103"/>
      <c r="O12" s="100"/>
      <c r="P12" s="103"/>
      <c r="Q12" s="97"/>
    </row>
    <row r="13" spans="1:17" ht="15" customHeight="1" x14ac:dyDescent="0.25">
      <c r="A13" s="123"/>
      <c r="B13" s="19" t="s">
        <v>107</v>
      </c>
      <c r="C13" s="22">
        <v>1.9E-2</v>
      </c>
      <c r="D13" s="126"/>
      <c r="E13" s="11" t="s">
        <v>108</v>
      </c>
      <c r="F13" s="15"/>
      <c r="G13" s="103"/>
      <c r="H13" s="11" t="s">
        <v>108</v>
      </c>
      <c r="I13" s="15"/>
      <c r="J13" s="129"/>
      <c r="K13" s="100"/>
      <c r="L13" s="103"/>
      <c r="M13" s="100"/>
      <c r="N13" s="103"/>
      <c r="O13" s="100"/>
      <c r="P13" s="103"/>
      <c r="Q13" s="97"/>
    </row>
    <row r="14" spans="1:17" ht="15" customHeight="1" x14ac:dyDescent="0.25">
      <c r="A14" s="123"/>
      <c r="B14" s="19" t="s">
        <v>109</v>
      </c>
      <c r="C14" s="22">
        <v>1.9E-2</v>
      </c>
      <c r="D14" s="126"/>
      <c r="E14" s="11" t="s">
        <v>110</v>
      </c>
      <c r="F14" s="15"/>
      <c r="G14" s="103"/>
      <c r="H14" s="11" t="s">
        <v>110</v>
      </c>
      <c r="I14" s="15"/>
      <c r="J14" s="129"/>
      <c r="K14" s="100"/>
      <c r="L14" s="103"/>
      <c r="M14" s="100"/>
      <c r="N14" s="103"/>
      <c r="O14" s="100"/>
      <c r="P14" s="103"/>
      <c r="Q14" s="97"/>
    </row>
    <row r="15" spans="1:17" ht="15" customHeight="1" x14ac:dyDescent="0.25">
      <c r="A15" s="123"/>
      <c r="B15" s="19" t="s">
        <v>111</v>
      </c>
      <c r="C15" s="22">
        <v>1.9E-2</v>
      </c>
      <c r="D15" s="126"/>
      <c r="E15" s="11" t="s">
        <v>112</v>
      </c>
      <c r="F15" s="15"/>
      <c r="G15" s="103"/>
      <c r="H15" s="11" t="s">
        <v>112</v>
      </c>
      <c r="I15" s="15"/>
      <c r="J15" s="129"/>
      <c r="K15" s="100"/>
      <c r="L15" s="103"/>
      <c r="M15" s="100"/>
      <c r="N15" s="103"/>
      <c r="O15" s="100"/>
      <c r="P15" s="103"/>
      <c r="Q15" s="97"/>
    </row>
    <row r="16" spans="1:17" ht="15" customHeight="1" x14ac:dyDescent="0.25">
      <c r="A16" s="123"/>
      <c r="B16" s="19" t="s">
        <v>113</v>
      </c>
      <c r="C16" s="22">
        <v>1.9E-2</v>
      </c>
      <c r="D16" s="126"/>
      <c r="E16" s="11" t="s">
        <v>114</v>
      </c>
      <c r="F16" s="15"/>
      <c r="G16" s="103"/>
      <c r="H16" s="11" t="s">
        <v>114</v>
      </c>
      <c r="I16" s="15"/>
      <c r="J16" s="129"/>
      <c r="K16" s="100"/>
      <c r="L16" s="103"/>
      <c r="M16" s="100"/>
      <c r="N16" s="103"/>
      <c r="O16" s="100"/>
      <c r="P16" s="103"/>
      <c r="Q16" s="97"/>
    </row>
    <row r="17" spans="1:23" ht="15" customHeight="1" x14ac:dyDescent="0.25">
      <c r="A17" s="123"/>
      <c r="B17" s="19" t="s">
        <v>115</v>
      </c>
      <c r="C17" s="22">
        <v>1.9E-2</v>
      </c>
      <c r="D17" s="126"/>
      <c r="E17" s="11" t="s">
        <v>116</v>
      </c>
      <c r="F17" s="15"/>
      <c r="G17" s="103"/>
      <c r="H17" s="11" t="s">
        <v>116</v>
      </c>
      <c r="I17" s="15"/>
      <c r="J17" s="129"/>
      <c r="K17" s="100"/>
      <c r="L17" s="103"/>
      <c r="M17" s="100"/>
      <c r="N17" s="103"/>
      <c r="O17" s="100"/>
      <c r="P17" s="103"/>
      <c r="Q17" s="97"/>
    </row>
    <row r="18" spans="1:23" ht="15" customHeight="1" x14ac:dyDescent="0.25">
      <c r="A18" s="123"/>
      <c r="B18" s="19" t="s">
        <v>117</v>
      </c>
      <c r="C18" s="22">
        <v>1.9E-2</v>
      </c>
      <c r="D18" s="126"/>
      <c r="E18" s="11" t="s">
        <v>118</v>
      </c>
      <c r="F18" s="15"/>
      <c r="G18" s="103"/>
      <c r="H18" s="11" t="s">
        <v>118</v>
      </c>
      <c r="I18" s="15"/>
      <c r="J18" s="129"/>
      <c r="K18" s="100"/>
      <c r="L18" s="103"/>
      <c r="M18" s="100"/>
      <c r="N18" s="103"/>
      <c r="O18" s="100"/>
      <c r="P18" s="103"/>
      <c r="Q18" s="97"/>
    </row>
    <row r="19" spans="1:23" ht="15" customHeight="1" x14ac:dyDescent="0.25">
      <c r="A19" s="123"/>
      <c r="B19" s="19" t="s">
        <v>119</v>
      </c>
      <c r="C19" s="22">
        <v>1.9E-2</v>
      </c>
      <c r="D19" s="126"/>
      <c r="E19" s="11" t="s">
        <v>120</v>
      </c>
      <c r="F19" s="15"/>
      <c r="G19" s="103"/>
      <c r="H19" s="11" t="s">
        <v>120</v>
      </c>
      <c r="I19" s="15"/>
      <c r="J19" s="129"/>
      <c r="K19" s="100"/>
      <c r="L19" s="103"/>
      <c r="M19" s="100"/>
      <c r="N19" s="103"/>
      <c r="O19" s="100"/>
      <c r="P19" s="103"/>
      <c r="Q19" s="97"/>
    </row>
    <row r="20" spans="1:23" ht="15.75" customHeight="1" thickBot="1" x14ac:dyDescent="0.3">
      <c r="A20" s="124"/>
      <c r="B20" s="21" t="s">
        <v>121</v>
      </c>
      <c r="C20" s="22">
        <v>1.9E-2</v>
      </c>
      <c r="D20" s="127"/>
      <c r="E20" s="16" t="s">
        <v>122</v>
      </c>
      <c r="F20" s="15"/>
      <c r="G20" s="104"/>
      <c r="H20" s="16" t="s">
        <v>122</v>
      </c>
      <c r="I20" s="15"/>
      <c r="J20" s="130"/>
      <c r="K20" s="101"/>
      <c r="L20" s="104"/>
      <c r="M20" s="101"/>
      <c r="N20" s="104"/>
      <c r="O20" s="101"/>
      <c r="P20" s="104"/>
      <c r="Q20" s="98"/>
    </row>
    <row r="22" spans="1:23" ht="15.75" thickBot="1" x14ac:dyDescent="0.3"/>
    <row r="23" spans="1:23" ht="15.75" thickBot="1" x14ac:dyDescent="0.3">
      <c r="B23" s="92" t="s">
        <v>123</v>
      </c>
      <c r="C23" s="94" t="s">
        <v>124</v>
      </c>
    </row>
    <row r="24" spans="1:23" ht="15" customHeight="1" x14ac:dyDescent="0.25">
      <c r="B24" s="93"/>
      <c r="C24" s="95"/>
      <c r="I24" s="105" t="s">
        <v>125</v>
      </c>
      <c r="J24" s="106"/>
      <c r="K24" s="107"/>
      <c r="L24" s="114" t="str">
        <f>IF(W48&gt;3,"Behov for flere sentraler",IF(W48&gt;2,"3",IF(W48&gt;1,"2",IF(W48&gt;0,"1",("0")))))</f>
        <v>1</v>
      </c>
      <c r="M24" s="115"/>
      <c r="N24" s="116"/>
    </row>
    <row r="25" spans="1:23" ht="15" customHeight="1" x14ac:dyDescent="0.25">
      <c r="B25" s="23" t="s">
        <v>84</v>
      </c>
      <c r="C25" s="24">
        <v>8</v>
      </c>
      <c r="I25" s="108"/>
      <c r="J25" s="109"/>
      <c r="K25" s="110"/>
      <c r="L25" s="117"/>
      <c r="M25" s="118"/>
      <c r="N25" s="119"/>
      <c r="T25" t="s">
        <v>84</v>
      </c>
      <c r="U25">
        <f>SUM(C5:C20)</f>
        <v>0.36600000000000005</v>
      </c>
    </row>
    <row r="26" spans="1:23" ht="15" customHeight="1" x14ac:dyDescent="0.25">
      <c r="B26" s="23" t="s">
        <v>86</v>
      </c>
      <c r="C26" s="24">
        <v>16</v>
      </c>
      <c r="I26" s="108"/>
      <c r="J26" s="109"/>
      <c r="K26" s="110"/>
      <c r="L26" s="117"/>
      <c r="M26" s="118"/>
      <c r="N26" s="119"/>
      <c r="T26" t="s">
        <v>86</v>
      </c>
      <c r="U26">
        <f>V26*W26/4</f>
        <v>0</v>
      </c>
      <c r="V26">
        <v>0.08</v>
      </c>
      <c r="W26">
        <f>SUM(F5:F20)</f>
        <v>0</v>
      </c>
    </row>
    <row r="27" spans="1:23" ht="15.75" customHeight="1" thickBot="1" x14ac:dyDescent="0.3">
      <c r="B27" s="23" t="s">
        <v>88</v>
      </c>
      <c r="C27" s="24">
        <v>16</v>
      </c>
      <c r="I27" s="111"/>
      <c r="J27" s="112"/>
      <c r="K27" s="113"/>
      <c r="L27" s="120"/>
      <c r="M27" s="121"/>
      <c r="N27" s="122"/>
      <c r="T27" t="s">
        <v>88</v>
      </c>
      <c r="U27">
        <f>V27*W27</f>
        <v>1.6400000000000001</v>
      </c>
      <c r="V27">
        <v>0.04</v>
      </c>
      <c r="W27">
        <f>SUM(I5:I20)</f>
        <v>41</v>
      </c>
    </row>
    <row r="28" spans="1:23" x14ac:dyDescent="0.25">
      <c r="B28" s="23" t="s">
        <v>89</v>
      </c>
      <c r="C28" s="24">
        <v>1</v>
      </c>
      <c r="I28" s="91"/>
      <c r="J28" s="91"/>
      <c r="K28" s="91"/>
      <c r="L28" s="90"/>
      <c r="M28" s="90"/>
      <c r="N28" s="90"/>
      <c r="T28" t="s">
        <v>89</v>
      </c>
      <c r="U28">
        <f>K5*V28</f>
        <v>0</v>
      </c>
      <c r="V28">
        <v>0.25</v>
      </c>
    </row>
    <row r="29" spans="1:23" x14ac:dyDescent="0.25">
      <c r="B29" s="23" t="s">
        <v>90</v>
      </c>
      <c r="C29" s="24">
        <v>4</v>
      </c>
      <c r="I29" s="91"/>
      <c r="J29" s="91"/>
      <c r="K29" s="91"/>
      <c r="L29" s="90"/>
      <c r="M29" s="90"/>
      <c r="N29" s="90"/>
      <c r="T29" t="s">
        <v>90</v>
      </c>
      <c r="U29">
        <f>M5*V29</f>
        <v>0</v>
      </c>
      <c r="V29">
        <v>2.5000000000000001E-2</v>
      </c>
    </row>
    <row r="30" spans="1:23" x14ac:dyDescent="0.25">
      <c r="B30" s="23" t="s">
        <v>91</v>
      </c>
      <c r="C30" s="24">
        <v>1</v>
      </c>
      <c r="I30" s="91"/>
      <c r="J30" s="91"/>
      <c r="K30" s="91"/>
      <c r="L30" s="90"/>
      <c r="M30" s="90"/>
      <c r="N30" s="90"/>
      <c r="T30" t="s">
        <v>91</v>
      </c>
      <c r="U30">
        <f>O5*V30</f>
        <v>0</v>
      </c>
      <c r="V30">
        <v>0.06</v>
      </c>
    </row>
    <row r="31" spans="1:23" x14ac:dyDescent="0.25">
      <c r="B31" s="23" t="s">
        <v>92</v>
      </c>
      <c r="C31" s="24">
        <v>1</v>
      </c>
      <c r="I31" s="91"/>
      <c r="J31" s="91"/>
      <c r="K31" s="91"/>
      <c r="L31" s="90"/>
      <c r="M31" s="90"/>
      <c r="N31" s="90"/>
      <c r="T31" t="s">
        <v>92</v>
      </c>
      <c r="U31">
        <f>Q5*V31</f>
        <v>0</v>
      </c>
      <c r="V31">
        <v>4.4999999999999998E-2</v>
      </c>
    </row>
    <row r="32" spans="1:23" ht="15.75" thickBot="1" x14ac:dyDescent="0.3">
      <c r="B32" s="25" t="s">
        <v>126</v>
      </c>
      <c r="C32" s="26">
        <v>24</v>
      </c>
      <c r="L32" s="10"/>
      <c r="U32">
        <f>SUM(U25:U31)</f>
        <v>2.0060000000000002</v>
      </c>
    </row>
    <row r="33" spans="12:24" x14ac:dyDescent="0.25">
      <c r="L33" s="10"/>
      <c r="T33" t="s">
        <v>84</v>
      </c>
      <c r="U33" s="13"/>
      <c r="W33">
        <f>X33/2</f>
        <v>8</v>
      </c>
      <c r="X33">
        <f>COUNTA(C5:C20)</f>
        <v>16</v>
      </c>
    </row>
    <row r="34" spans="12:24" x14ac:dyDescent="0.25">
      <c r="L34" s="10"/>
      <c r="T34" t="s">
        <v>86</v>
      </c>
      <c r="U34" s="13"/>
      <c r="W34">
        <f>COUNTA(F5:F20)</f>
        <v>0</v>
      </c>
    </row>
    <row r="35" spans="12:24" x14ac:dyDescent="0.25">
      <c r="T35" t="s">
        <v>88</v>
      </c>
      <c r="U35" s="12"/>
      <c r="W35">
        <f>COUNTA(I5:I20)</f>
        <v>3</v>
      </c>
    </row>
    <row r="36" spans="12:24" x14ac:dyDescent="0.25">
      <c r="T36" t="s">
        <v>89</v>
      </c>
      <c r="W36">
        <f>K5</f>
        <v>0</v>
      </c>
    </row>
    <row r="37" spans="12:24" x14ac:dyDescent="0.25">
      <c r="T37" t="s">
        <v>90</v>
      </c>
      <c r="U37" s="14"/>
      <c r="W37">
        <f>M5</f>
        <v>0</v>
      </c>
    </row>
    <row r="38" spans="12:24" x14ac:dyDescent="0.25">
      <c r="T38" t="s">
        <v>91</v>
      </c>
      <c r="W38">
        <f>O5</f>
        <v>0</v>
      </c>
    </row>
    <row r="39" spans="12:24" x14ac:dyDescent="0.25">
      <c r="T39" t="s">
        <v>92</v>
      </c>
      <c r="W39">
        <f>Q5</f>
        <v>0</v>
      </c>
    </row>
    <row r="40" spans="12:24" x14ac:dyDescent="0.25">
      <c r="W40">
        <f>SUM(W33:W39)</f>
        <v>11</v>
      </c>
    </row>
    <row r="43" spans="12:24" x14ac:dyDescent="0.25">
      <c r="V43" t="s">
        <v>127</v>
      </c>
      <c r="W43" t="str">
        <f>IF(U32&gt;16,"4",IF(U32&gt;12,"3",IF(U32&gt;8,"2",IF(U32&gt;4,"1",("0")))))</f>
        <v>0</v>
      </c>
    </row>
    <row r="44" spans="12:24" x14ac:dyDescent="0.25">
      <c r="V44" t="s">
        <v>128</v>
      </c>
      <c r="W44" t="str">
        <f>IF(W40&gt;28,"4",IF(W40&gt;21,"3",IF(W40&gt;14,"2",IF(W40&gt;7,"1",("0")))))</f>
        <v>1</v>
      </c>
    </row>
    <row r="46" spans="12:24" x14ac:dyDescent="0.25">
      <c r="W46">
        <f>W43*1</f>
        <v>0</v>
      </c>
    </row>
    <row r="47" spans="12:24" x14ac:dyDescent="0.25">
      <c r="W47">
        <f>W44*1</f>
        <v>1</v>
      </c>
    </row>
    <row r="48" spans="12:24" x14ac:dyDescent="0.25">
      <c r="W48">
        <f>MAX(W46:W47)</f>
        <v>1</v>
      </c>
    </row>
  </sheetData>
  <sheetProtection algorithmName="SHA-512" hashValue="uFZtdWLMaLRLa/RFeqkObYjJfUT4x+V7UpdewiY+g3ElEdTFWDHEVyS4sgGBfiN46R4q1xym1P2uaM/wxDa/Eg==" saltValue="+lG7QuLRBrsmru/1++OsIQ==" spinCount="100000" sheet="1" objects="1" scenarios="1"/>
  <mergeCells count="17">
    <mergeCell ref="A5:A20"/>
    <mergeCell ref="D5:D20"/>
    <mergeCell ref="G5:G20"/>
    <mergeCell ref="J5:J20"/>
    <mergeCell ref="O5:O20"/>
    <mergeCell ref="N5:N20"/>
    <mergeCell ref="L28:N31"/>
    <mergeCell ref="I28:K31"/>
    <mergeCell ref="B23:B24"/>
    <mergeCell ref="C23:C24"/>
    <mergeCell ref="Q5:Q20"/>
    <mergeCell ref="M5:M20"/>
    <mergeCell ref="K5:K20"/>
    <mergeCell ref="L5:L20"/>
    <mergeCell ref="P5:P20"/>
    <mergeCell ref="I24:K27"/>
    <mergeCell ref="L24:N27"/>
  </mergeCells>
  <conditionalFormatting sqref="L24">
    <cfRule type="containsText" dxfId="4" priority="2" operator="containsText" text="Behov">
      <formula>NOT(ISERROR(SEARCH("Behov",L24)))</formula>
    </cfRule>
  </conditionalFormatting>
  <conditionalFormatting sqref="L28:N31">
    <cfRule type="containsText" dxfId="3" priority="1" operator="containsText" text="Behov">
      <formula>NOT(ISERROR(SEARCH("Behov",L28)))</formula>
    </cfRule>
  </conditionalFormatting>
  <dataValidations count="7">
    <dataValidation type="whole" allowBlank="1" showInputMessage="1" showErrorMessage="1" errorTitle="For mange!!" error="IFM4R har kun 4 releer" sqref="F5:F20" xr:uid="{32703E86-DEAE-44CC-8D89-B08A06EF77AF}">
      <formula1>0</formula1>
      <formula2>4</formula2>
    </dataValidation>
    <dataValidation type="whole" allowBlank="1" showInputMessage="1" showErrorMessage="1" errorTitle="FEIL VERIDI!!" error="Legg inn antall sirener pr kort mellom 0 og 120" sqref="I5:I20" xr:uid="{1F9A6CBB-EC4F-46E9-B23D-599235E02D5F}">
      <formula1>0</formula1>
      <formula2>120</formula2>
    </dataValidation>
    <dataValidation type="whole" allowBlank="1" showInputMessage="1" showErrorMessage="1" errorTitle="FEIL VERDI!!" error="Det kan kun være 1 IFMDIAL pr sentral" sqref="K5:K20" xr:uid="{C88460B0-3AEB-4258-B396-BCB95A0724C9}">
      <formula1>0</formula1>
      <formula2>1</formula2>
    </dataValidation>
    <dataValidation type="whole" allowBlank="1" showInputMessage="1" showErrorMessage="1" errorTitle="FEIL VERDI!!" error="Det kan kun være 4 IFM16IO pr sentral. " sqref="M5:M20" xr:uid="{CA24D4BE-3CAF-4380-B8D3-A26A38DA2058}">
      <formula1>0</formula1>
      <formula2>4</formula2>
    </dataValidation>
    <dataValidation type="whole" allowBlank="1" showInputMessage="1" showErrorMessage="1" errorTitle="FEIL VERDI!!" error="Det kan kun være 1 IFMNET pr sentral" sqref="O5:O20" xr:uid="{2D016FFC-C7DF-4E27-888A-E5E0CC7DE858}">
      <formula1>0</formula1>
      <formula2>1</formula2>
    </dataValidation>
    <dataValidation type="whole" allowBlank="1" showInputMessage="1" showErrorMessage="1" errorTitle="FEIL VERDI!!" error="Det kan kun være 1 IFMLAN pr sentral" sqref="Q5:Q20" xr:uid="{C2BFFCB5-1926-4FCE-BE90-E6A81295FFBA}">
      <formula1>0</formula1>
      <formula2>1</formula2>
    </dataValidation>
    <dataValidation type="decimal" allowBlank="1" showInputMessage="1" showErrorMessage="1" errorTitle="FEIL VERDI!" error="Legg in verdi mellom 0 og 0,500" sqref="C5:C20" xr:uid="{7C5F8978-2511-4FB0-B180-7B8C5357900B}">
      <formula1>0</formula1>
      <formula2>0.5</formula2>
    </dataValidation>
  </dataValidations>
  <pageMargins left="0.7" right="0.7" top="0.75" bottom="0.75" header="0.3" footer="0.3"/>
  <pageSetup paperSize="9" orientation="portrait" r:id="rId1"/>
  <ignoredErrors>
    <ignoredError sqref="U28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6EAA-17B2-4CBF-8D32-C3032D14AEF0}">
  <dimension ref="B3:P13"/>
  <sheetViews>
    <sheetView showGridLines="0" workbookViewId="0">
      <selection activeCell="F6" sqref="F6"/>
    </sheetView>
  </sheetViews>
  <sheetFormatPr baseColWidth="10" defaultColWidth="11.42578125" defaultRowHeight="15" x14ac:dyDescent="0.25"/>
  <cols>
    <col min="5" max="6" width="15" customWidth="1"/>
    <col min="7" max="7" width="11.5703125" customWidth="1"/>
    <col min="8" max="8" width="24" hidden="1" customWidth="1"/>
    <col min="9" max="9" width="22.28515625" hidden="1" customWidth="1"/>
    <col min="10" max="10" width="24.42578125" hidden="1" customWidth="1"/>
    <col min="11" max="11" width="21.7109375" hidden="1" customWidth="1"/>
    <col min="12" max="12" width="18.42578125" hidden="1" customWidth="1"/>
    <col min="13" max="13" width="15.5703125" hidden="1" customWidth="1"/>
    <col min="14" max="15" width="12.140625" hidden="1" customWidth="1"/>
    <col min="16" max="16" width="25" hidden="1" customWidth="1"/>
  </cols>
  <sheetData>
    <row r="3" spans="2:16" x14ac:dyDescent="0.25">
      <c r="B3" s="131" t="s">
        <v>129</v>
      </c>
      <c r="C3" s="132"/>
      <c r="E3" s="131" t="s">
        <v>130</v>
      </c>
      <c r="F3" s="132"/>
    </row>
    <row r="4" spans="2:16" ht="14.25" customHeight="1" x14ac:dyDescent="0.25">
      <c r="B4" s="56" t="s">
        <v>131</v>
      </c>
      <c r="C4" s="56" t="s">
        <v>132</v>
      </c>
      <c r="E4" s="57" t="s">
        <v>133</v>
      </c>
      <c r="F4" s="58"/>
    </row>
    <row r="5" spans="2:16" ht="14.25" customHeight="1" x14ac:dyDescent="0.25">
      <c r="B5" s="59">
        <v>1</v>
      </c>
      <c r="C5" s="59">
        <v>0</v>
      </c>
      <c r="E5" s="57" t="s">
        <v>134</v>
      </c>
      <c r="F5" s="58"/>
      <c r="H5" t="s">
        <v>135</v>
      </c>
      <c r="I5" t="s">
        <v>136</v>
      </c>
      <c r="J5" t="s">
        <v>137</v>
      </c>
      <c r="L5" t="s">
        <v>138</v>
      </c>
      <c r="M5" t="s">
        <v>139</v>
      </c>
      <c r="N5" t="s">
        <v>140</v>
      </c>
      <c r="O5" t="s">
        <v>141</v>
      </c>
    </row>
    <row r="6" spans="2:16" ht="14.25" customHeight="1" x14ac:dyDescent="0.25">
      <c r="B6" s="131" t="s">
        <v>141</v>
      </c>
      <c r="C6" s="132"/>
      <c r="E6" s="57" t="s">
        <v>142</v>
      </c>
      <c r="F6" s="58"/>
      <c r="H6">
        <v>75</v>
      </c>
      <c r="I6">
        <v>80</v>
      </c>
      <c r="J6">
        <v>7.5</v>
      </c>
      <c r="K6">
        <f>B5*J6</f>
        <v>7.5</v>
      </c>
      <c r="L6">
        <f t="shared" ref="L6:L12" si="0">F4</f>
        <v>0</v>
      </c>
      <c r="M6">
        <f>L6*H6</f>
        <v>0</v>
      </c>
      <c r="N6">
        <f>L6*I6</f>
        <v>0</v>
      </c>
      <c r="O6">
        <f>TRUNC(((K13*1000*60-N13*30)/M13)/60.2)</f>
        <v>28</v>
      </c>
      <c r="P6">
        <f>IFERROR(O6,"")</f>
        <v>28</v>
      </c>
    </row>
    <row r="7" spans="2:16" ht="14.25" customHeight="1" x14ac:dyDescent="0.25">
      <c r="B7" s="133" t="str">
        <f>IF(P6&gt;=24,"OK",IF(P6&gt;=12,"OK, ved overføing til alarmmottak","For mange enheter"))</f>
        <v>OK</v>
      </c>
      <c r="C7" s="134"/>
      <c r="E7" s="57" t="s">
        <v>143</v>
      </c>
      <c r="F7" s="58"/>
      <c r="H7">
        <v>100</v>
      </c>
      <c r="I7">
        <v>115</v>
      </c>
      <c r="J7">
        <v>18</v>
      </c>
      <c r="K7">
        <f>C5*J7</f>
        <v>0</v>
      </c>
      <c r="L7">
        <f t="shared" si="0"/>
        <v>0</v>
      </c>
      <c r="M7">
        <f t="shared" ref="M7:M12" si="1">L7*H7</f>
        <v>0</v>
      </c>
      <c r="N7">
        <f t="shared" ref="N7:N12" si="2">L7*I7</f>
        <v>0</v>
      </c>
    </row>
    <row r="8" spans="2:16" ht="14.25" customHeight="1" x14ac:dyDescent="0.25">
      <c r="B8" s="135"/>
      <c r="C8" s="136"/>
      <c r="E8" s="57" t="s">
        <v>144</v>
      </c>
      <c r="F8" s="58"/>
      <c r="H8">
        <v>130</v>
      </c>
      <c r="I8">
        <v>160</v>
      </c>
      <c r="L8">
        <f t="shared" si="0"/>
        <v>0</v>
      </c>
      <c r="M8">
        <f t="shared" si="1"/>
        <v>0</v>
      </c>
      <c r="N8">
        <f t="shared" si="2"/>
        <v>0</v>
      </c>
    </row>
    <row r="9" spans="2:16" ht="14.25" customHeight="1" x14ac:dyDescent="0.25">
      <c r="B9" s="137"/>
      <c r="C9" s="138"/>
      <c r="E9" s="57" t="s">
        <v>145</v>
      </c>
      <c r="F9" s="58">
        <v>1</v>
      </c>
      <c r="H9">
        <v>260</v>
      </c>
      <c r="I9">
        <v>295</v>
      </c>
      <c r="L9">
        <f t="shared" si="0"/>
        <v>0</v>
      </c>
      <c r="M9">
        <f t="shared" si="1"/>
        <v>0</v>
      </c>
      <c r="N9">
        <f t="shared" si="2"/>
        <v>0</v>
      </c>
    </row>
    <row r="10" spans="2:16" ht="14.25" customHeight="1" x14ac:dyDescent="0.25">
      <c r="B10" s="56" t="s">
        <v>146</v>
      </c>
      <c r="C10" s="56">
        <f>P6</f>
        <v>28</v>
      </c>
      <c r="E10" s="57" t="s">
        <v>147</v>
      </c>
      <c r="F10" s="58"/>
      <c r="H10">
        <v>290</v>
      </c>
      <c r="I10">
        <v>350</v>
      </c>
      <c r="L10">
        <f t="shared" si="0"/>
        <v>0</v>
      </c>
      <c r="M10">
        <f t="shared" si="1"/>
        <v>0</v>
      </c>
      <c r="N10">
        <f t="shared" si="2"/>
        <v>0</v>
      </c>
    </row>
    <row r="11" spans="2:16" ht="15" customHeight="1" x14ac:dyDescent="0.25">
      <c r="H11">
        <v>260</v>
      </c>
      <c r="I11">
        <v>310</v>
      </c>
      <c r="L11">
        <f t="shared" si="0"/>
        <v>1</v>
      </c>
      <c r="M11">
        <f t="shared" si="1"/>
        <v>260</v>
      </c>
      <c r="N11">
        <f t="shared" si="2"/>
        <v>310</v>
      </c>
    </row>
    <row r="12" spans="2:16" ht="15" customHeight="1" x14ac:dyDescent="0.25">
      <c r="H12">
        <v>290</v>
      </c>
      <c r="I12">
        <v>385</v>
      </c>
      <c r="L12">
        <f t="shared" si="0"/>
        <v>0</v>
      </c>
      <c r="M12">
        <f t="shared" si="1"/>
        <v>0</v>
      </c>
      <c r="N12">
        <f t="shared" si="2"/>
        <v>0</v>
      </c>
    </row>
    <row r="13" spans="2:16" x14ac:dyDescent="0.25">
      <c r="K13">
        <f>SUM(K6:K7)</f>
        <v>7.5</v>
      </c>
      <c r="M13">
        <f>SUM(M6:M12)</f>
        <v>260</v>
      </c>
      <c r="N13">
        <f>SUM(N6:N12)</f>
        <v>310</v>
      </c>
    </row>
  </sheetData>
  <sheetProtection algorithmName="SHA-512" hashValue="yjttDhztJ27EU0RFe6L+TLGE+QUUO4wsldIfTn9RZwBQknF6DfKr++Mi0yj0TiLJTV9P3IdgcJp8j5s5ZsErlQ==" saltValue="qS1qmi/9YYtOIlzWLtxQ3Q==" spinCount="100000" sheet="1" objects="1" scenarios="1"/>
  <mergeCells count="4">
    <mergeCell ref="B3:C3"/>
    <mergeCell ref="E3:F3"/>
    <mergeCell ref="B6:C6"/>
    <mergeCell ref="B7:C9"/>
  </mergeCells>
  <conditionalFormatting sqref="B7">
    <cfRule type="containsText" dxfId="2" priority="1" operator="containsText" text="For">
      <formula>NOT(ISERROR(SEARCH("For",B7)))</formula>
    </cfRule>
    <cfRule type="containsText" dxfId="1" priority="2" operator="containsText" text="ved">
      <formula>NOT(ISERROR(SEARCH("ved",B7)))</formula>
    </cfRule>
    <cfRule type="containsText" dxfId="0" priority="3" operator="containsText" text="OK">
      <formula>NOT(ISERROR(SEARCH("OK",B7)))</formula>
    </cfRule>
  </conditionalFormatting>
  <conditionalFormatting sqref="O14">
    <cfRule type="cellIs" priority="4" operator="lessThanOrEqual">
      <formula>24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C6F31EAC128B4DB5C467B04D61D136" ma:contentTypeVersion="15" ma:contentTypeDescription="Opprett et nytt dokument." ma:contentTypeScope="" ma:versionID="5539d04d024f3c4179696b555c59a294">
  <xsd:schema xmlns:xsd="http://www.w3.org/2001/XMLSchema" xmlns:xs="http://www.w3.org/2001/XMLSchema" xmlns:p="http://schemas.microsoft.com/office/2006/metadata/properties" xmlns:ns2="9497ab80-770e-4c2a-9a8e-e26f1e10de55" xmlns:ns3="4bb78a73-cfb8-4121-b7b0-7732cad117df" targetNamespace="http://schemas.microsoft.com/office/2006/metadata/properties" ma:root="true" ma:fieldsID="345a14ac5e8fa0dd7fbbb57471a9c252" ns2:_="" ns3:_="">
    <xsd:import namespace="9497ab80-770e-4c2a-9a8e-e26f1e10de55"/>
    <xsd:import namespace="4bb78a73-cfb8-4121-b7b0-7732cad117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7ab80-770e-4c2a-9a8e-e26f1e10d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4ca816d4-7601-4608-91e3-084e423934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78a73-cfb8-4121-b7b0-7732cad117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7c01bb7-8cc9-4a55-9688-5f4653d614b2}" ma:internalName="TaxCatchAll" ma:showField="CatchAllData" ma:web="4bb78a73-cfb8-4121-b7b0-7732cad117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97ab80-770e-4c2a-9a8e-e26f1e10de55">
      <Terms xmlns="http://schemas.microsoft.com/office/infopath/2007/PartnerControls"/>
    </lcf76f155ced4ddcb4097134ff3c332f>
    <TaxCatchAll xmlns="4bb78a73-cfb8-4121-b7b0-7732cad117df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L k E A A B Q S w M E F A A C A A g A G W S l U O 1 3 v N u m A A A A + A A A A B I A H A B D b 2 5 m a W c v U G F j a 2 F n Z S 5 4 b W w g o h g A K K A U A A A A A A A A A A A A A A A A A A A A A A A A A A A A h Y + x D o I w F E V / h X S n r 0 B M k D z K 4 C p q Y m J c K 1 Z o h G J o s f y b g 5 / k L 0 i i q J v j P T n D u Y / b H b O h q b 2 r 7 I x q d U o C y o g n d d E e l S 5 T 0 t u T H 5 O M 4 0 Y U Z 1 F K b 5 S 1 S Q Z z T E l l 7 S U B c M 5 R F 9 G 2 K y F k L I B 9 v t w W l W w E + c j q v + w r b a z Q h S Q c d 6 8 Y H t K Y 0 V n M I j p n A c K E M V f 6 q 4 R j M W U I P x A X f W 3 7 T n J 9 8 F d r h G k i v F / w J 1 B L A w Q U A A I A C A A Z Z K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W S l U F B M O G y x A Q A A j A M A A B M A H A B G b 3 J t d W x h c y 9 T Z W N 0 a W 9 u M S 5 t I K I Y A C i g F A A A A A A A A A A A A A A A A A A A A A A A A A A A A H 2 R 3 W r b Q B C F 7 w 1 + h 2 U L x Q b V V E 2 a / g R f u E 5 C Q 6 A U 7 K Y X l g k b a 2 x t t d o x s 6 N g Y / x e v e + L d e S f J K R S F 8 T C d z R n 5 s w G m L F F r 0 b 7 O z 5 v t 9 q t k B m C V A 0 o j 1 V f O e B 2 S 8 m 5 s S 4 F A Z e r G b j e T 6 T 8 H j H v X F k H v S F 6 B s + h o 4 e f k x 8 B K C T D j G x g X G Z A y T c k h r z q U p L l t X q t x j D L P D p c r J M L z M u i K p Y P S L 1 R R y C F 8 c n d L U i D 1 F u / E B E X U p n 7 Y H O V Y p 5 8 A Y J F J S n z o A L T n 9 / F H C m s d 4 i t U 4 O w t G T C L / S 9 l Q s r 3 Y 2 U L 5 2 L F F M J 3 W g f r A p 6 N 8 o A W N L t U m 4 m 1 w x F X 1 e K j m 6 s T / t 6 9 4 O e b i c X h s 3 0 U P p K X y H N C Y o C Z D f 4 I M F z s n M Z X Y v X 2 N z L b r 4 T F s j w F U w q c u e p W 6 Q m B 2 3 g 3 G h m n K H Q r w a b d h / t L 3 1 K M h e v l / D k O C b j g w Q t h u j K w o 9 F D J 3 / j B J t N v r W u L o t 6 W j n r R h W v I 3 U R u 8 t 3 x 2 5 8 e t n + O Q l P r q a x z 2 H F O S p G a n B + b 3 w a 8 9 n p 7 1 q 7 G f C W X 3 L D / X 4 Y z 3 + V I / j t 0 1 d 4 7 i h o m E D 8 T 8 r O P D T B v 4 i 7 7 b b b l l f 9 7 r n f w F Q S w E C L Q A U A A I A C A A Z Z K V Q 7 X e 8 2 6 Y A A A D 4 A A A A E g A A A A A A A A A A A A A A A A A A A A A A Q 2 9 u Z m l n L 1 B h Y 2 t h Z 2 U u e G 1 s U E s B A i 0 A F A A C A A g A G W S l U A / K 6 a u k A A A A 6 Q A A A B M A A A A A A A A A A A A A A A A A 8 g A A A F t D b 2 5 0 Z W 5 0 X 1 R 5 c G V z X S 5 4 b W x Q S w E C L Q A U A A I A C A A Z Z K V Q U E w 4 b L E B A A C M A w A A E w A A A A A A A A A A A A A A A A D j A Q A A R m 9 y b X V s Y X M v U 2 V j d G l v b j E u b V B L B Q Y A A A A A A w A D A M I A A A D h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o E A A A A A A A A A Y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B c m s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z a m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1 V D E w O j M y O j Q 2 L j g y N T c w M T F a I i A v P j x F b n R y e S B U e X B l P S J G a W x s Q 2 9 s d W 1 u V H l w Z X M i I F Z h b H V l P S J z Q m d B Q U J n T U F B Q U F B Q X d B Q U F B Q U Q i I C 8 + P E V u d H J 5 I F R 5 c G U 9 I k Z p b G x D b 2 x 1 b W 5 O Y W 1 l c y I g V m F s d W U 9 I n N b J n F 1 b 3 Q 7 V m F s Z y B h d i B z d H L D u G 1 m b 3 J z e W 5 p b m c m c X V v d D s s J n F 1 b 3 Q 7 Q 2 9 s d W 1 u M i Z x d W 9 0 O y w m c X V v d D t D b 2 x 1 b W 4 z J n F 1 b 3 Q 7 L C Z x d W 9 0 O 1 Z h b G c g Y X Y g Y X N w a X J h c 2 p v b n N k Z X R l a 3 R v c i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J r M S 9 F b m R y Z X Q g d H l w Z S 5 7 V m F s Z y B h d i B z d H L D u G 1 m b 3 J z e W 5 p b m c s M H 0 m c X V v d D s s J n F 1 b 3 Q 7 U 2 V j d G l v b j E v Q X J r M S 9 F b m R y Z X Q g d H l w Z S 5 7 Q 2 9 s d W 1 u M i w x f S Z x d W 9 0 O y w m c X V v d D t T Z W N 0 a W 9 u M S 9 B c m s x L 0 V u Z H J l d C B 0 e X B l L n t D b 2 x 1 b W 4 z L D J 9 J n F 1 b 3 Q 7 L C Z x d W 9 0 O 1 N l Y 3 R p b 2 4 x L 0 F y a z E v R W 5 k c m V 0 I H R 5 c G U u e 1 Z h b G c g Y X Y g Y X N w a X J h c 2 p v b n N k Z X R l a 3 R v c i w z f S Z x d W 9 0 O y w m c X V v d D t T Z W N 0 a W 9 u M S 9 B c m s x L 0 V u Z H J l d C B 0 e X B l L n t D b 2 x 1 b W 4 1 L D R 9 J n F 1 b 3 Q 7 L C Z x d W 9 0 O 1 N l Y 3 R p b 2 4 x L 0 F y a z E v R W 5 k c m V 0 I H R 5 c G U u e 0 N v b H V t b j Y s N X 0 m c X V v d D s s J n F 1 b 3 Q 7 U 2 V j d G l v b j E v Q X J r M S 9 F b m R y Z X Q g d H l w Z S 5 7 Q 2 9 s d W 1 u N y w 2 f S Z x d W 9 0 O y w m c X V v d D t T Z W N 0 a W 9 u M S 9 B c m s x L 0 V u Z H J l d C B 0 e X B l L n t D b 2 x 1 b W 4 4 L D d 9 J n F 1 b 3 Q 7 L C Z x d W 9 0 O 1 N l Y 3 R p b 2 4 x L 0 F y a z E v R W 5 k c m V 0 I H R 5 c G U u e 0 N v b H V t b j k s O H 0 m c X V v d D s s J n F 1 b 3 Q 7 U 2 V j d G l v b j E v Q X J r M S 9 F b m R y Z X Q g d H l w Z S 5 7 Q 2 9 s d W 1 u M T A s O X 0 m c X V v d D s s J n F 1 b 3 Q 7 U 2 V j d G l v b j E v Q X J r M S 9 F b m R y Z X Q g d H l w Z S 5 7 Q 2 9 s d W 1 u M T E s M T B 9 J n F 1 b 3 Q 7 L C Z x d W 9 0 O 1 N l Y 3 R p b 2 4 x L 0 F y a z E v R W 5 k c m V 0 I H R 5 c G U u e 0 N v b H V t b j E y L D E x f S Z x d W 9 0 O y w m c X V v d D t T Z W N 0 a W 9 u M S 9 B c m s x L 0 V u Z H J l d C B 0 e X B l L n t D b 2 x 1 b W 4 x M y w x M n 0 m c X V v d D s s J n F 1 b 3 Q 7 U 2 V j d G l v b j E v Q X J r M S 9 F b m R y Z X Q g d H l w Z S 5 7 Q 2 9 s d W 1 u M T Q s M T N 9 J n F 1 b 3 Q 7 L C Z x d W 9 0 O 1 N l Y 3 R p b 2 4 x L 0 F y a z E v R W 5 k c m V 0 I H R 5 c G U u e 0 N v b H V t b j E 1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Q X J r M S 9 F b m R y Z X Q g d H l w Z S 5 7 V m F s Z y B h d i B z d H L D u G 1 m b 3 J z e W 5 p b m c s M H 0 m c X V v d D s s J n F 1 b 3 Q 7 U 2 V j d G l v b j E v Q X J r M S 9 F b m R y Z X Q g d H l w Z S 5 7 Q 2 9 s d W 1 u M i w x f S Z x d W 9 0 O y w m c X V v d D t T Z W N 0 a W 9 u M S 9 B c m s x L 0 V u Z H J l d C B 0 e X B l L n t D b 2 x 1 b W 4 z L D J 9 J n F 1 b 3 Q 7 L C Z x d W 9 0 O 1 N l Y 3 R p b 2 4 x L 0 F y a z E v R W 5 k c m V 0 I H R 5 c G U u e 1 Z h b G c g Y X Y g Y X N w a X J h c 2 p v b n N k Z X R l a 3 R v c i w z f S Z x d W 9 0 O y w m c X V v d D t T Z W N 0 a W 9 u M S 9 B c m s x L 0 V u Z H J l d C B 0 e X B l L n t D b 2 x 1 b W 4 1 L D R 9 J n F 1 b 3 Q 7 L C Z x d W 9 0 O 1 N l Y 3 R p b 2 4 x L 0 F y a z E v R W 5 k c m V 0 I H R 5 c G U u e 0 N v b H V t b j Y s N X 0 m c X V v d D s s J n F 1 b 3 Q 7 U 2 V j d G l v b j E v Q X J r M S 9 F b m R y Z X Q g d H l w Z S 5 7 Q 2 9 s d W 1 u N y w 2 f S Z x d W 9 0 O y w m c X V v d D t T Z W N 0 a W 9 u M S 9 B c m s x L 0 V u Z H J l d C B 0 e X B l L n t D b 2 x 1 b W 4 4 L D d 9 J n F 1 b 3 Q 7 L C Z x d W 9 0 O 1 N l Y 3 R p b 2 4 x L 0 F y a z E v R W 5 k c m V 0 I H R 5 c G U u e 0 N v b H V t b j k s O H 0 m c X V v d D s s J n F 1 b 3 Q 7 U 2 V j d G l v b j E v Q X J r M S 9 F b m R y Z X Q g d H l w Z S 5 7 Q 2 9 s d W 1 u M T A s O X 0 m c X V v d D s s J n F 1 b 3 Q 7 U 2 V j d G l v b j E v Q X J r M S 9 F b m R y Z X Q g d H l w Z S 5 7 Q 2 9 s d W 1 u M T E s M T B 9 J n F 1 b 3 Q 7 L C Z x d W 9 0 O 1 N l Y 3 R p b 2 4 x L 0 F y a z E v R W 5 k c m V 0 I H R 5 c G U u e 0 N v b H V t b j E y L D E x f S Z x d W 9 0 O y w m c X V v d D t T Z W N 0 a W 9 u M S 9 B c m s x L 0 V u Z H J l d C B 0 e X B l L n t D b 2 x 1 b W 4 x M y w x M n 0 m c X V v d D s s J n F 1 b 3 Q 7 U 2 V j d G l v b j E v Q X J r M S 9 F b m R y Z X Q g d H l w Z S 5 7 Q 2 9 s d W 1 u M T Q s M T N 9 J n F 1 b 3 Q 7 L C Z x d W 9 0 O 1 N l Y 3 R p b 2 4 x L 0 F y a z E v R W 5 k c m V 0 I H R 5 c G U u e 0 N v b H V t b j E 1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J r M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a z E v Q X J r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a z E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s x L 0 V u Z H J l d C U y M H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s p w r a 8 e O U e s 0 j m O T / i t O A A A A A A C A A A A A A A Q Z g A A A A E A A C A A A A C u f c C K E a X L V x p k a f W / k 7 n E J R t x A D b c s g M F R K V 5 D 6 B j y Q A A A A A O g A A A A A I A A C A A A A B O I R O s Q w P y y X u 7 / Q S s e Y r l 8 7 h g o G 2 X O G o W i C p f I i e z w 1 A A A A C A + g a f b c M Z t L w j 1 D 7 / e S q J f l x o B G J Z w S L z w b 8 z N 9 X t A J x e v N I e M K W g c N V u H 2 w o G f X D 1 z s Q K H r w 7 2 8 M W t X r O 1 n k T p g 0 T l s S F f y G E B 4 X B + B u p U A A A A C c 9 w a y 6 w / 3 j p G 7 d 6 3 7 T w Z E 7 + O k T G 4 u n B D 3 X Y d B S F q p b a A j x a e x a G i 7 u n x x t x 2 a / / S c l 6 a s o M 7 O 9 n V k u + q R w H h f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B7DBDB-3CC2-44A5-942A-DC3D5D665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97ab80-770e-4c2a-9a8e-e26f1e10de55"/>
    <ds:schemaRef ds:uri="4bb78a73-cfb8-4121-b7b0-7732cad11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77BDD-F12F-4623-88AB-8B77528586AF}">
  <ds:schemaRefs>
    <ds:schemaRef ds:uri="http://schemas.microsoft.com/office/2006/metadata/properties"/>
    <ds:schemaRef ds:uri="http://schemas.microsoft.com/office/infopath/2007/PartnerControls"/>
    <ds:schemaRef ds:uri="9497ab80-770e-4c2a-9a8e-e26f1e10de55"/>
    <ds:schemaRef ds:uri="4bb78a73-cfb8-4121-b7b0-7732cad117df"/>
  </ds:schemaRefs>
</ds:datastoreItem>
</file>

<file path=customXml/itemProps3.xml><?xml version="1.0" encoding="utf-8"?>
<ds:datastoreItem xmlns:ds="http://schemas.openxmlformats.org/officeDocument/2006/customXml" ds:itemID="{84480721-DB92-48F6-873E-C1B45D05C45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98FA216-7ED8-41B1-B604-93FC54520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Sløyfe</vt:lpstr>
      <vt:lpstr>Klokkekurs</vt:lpstr>
      <vt:lpstr>Previdia Max</vt:lpstr>
      <vt:lpstr>Aspirasjon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Christopher Teigstad</cp:lastModifiedBy>
  <cp:revision/>
  <dcterms:created xsi:type="dcterms:W3CDTF">2017-07-29T09:51:19Z</dcterms:created>
  <dcterms:modified xsi:type="dcterms:W3CDTF">2024-03-27T13:16:06Z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0x01010082C6F31EAC128B4DB5C467B04D61D136</vt:lpwstr>
  </property>
  <property fmtid="{D5CDD505-2E9C-101B-9397-08002B2CF9AE}" pid="3" name="Order">
    <vt:r8>14000</vt:r8>
  </property>
  <property fmtid="{D5CDD505-2E9C-101B-9397-08002B2CF9AE}" pid="4" name="MediaServiceImageTags">
    <vt:lpwstr/>
  </property>
</Properties>
</file>